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showInkAnnotation="0" codeName="ThisWorkbook" defaultThemeVersion="124226"/>
  <xr:revisionPtr revIDLastSave="0" documentId="13_ncr:1000001_{8565D17D-3B1E-3F4E-AA31-5C0B73E047E6}" xr6:coauthVersionLast="45" xr6:coauthVersionMax="45" xr10:uidLastSave="{00000000-0000-0000-0000-000000000000}"/>
  <workbookProtection workbookPassword="E80B" lockStructure="1"/>
  <bookViews>
    <workbookView xWindow="480" yWindow="45" windowWidth="9405" windowHeight="6015" xr2:uid="{00000000-000D-0000-FFFF-FFFF00000000}"/>
  </bookViews>
  <sheets>
    <sheet name="Form" sheetId="17" r:id="rId1"/>
    <sheet name="Rep 1" sheetId="10" r:id="rId2"/>
    <sheet name="Rep 2" sheetId="7" r:id="rId3"/>
    <sheet name="HRA" sheetId="13" state="hidden" r:id="rId4"/>
    <sheet name="F" sheetId="11" state="hidden" r:id="rId5"/>
  </sheets>
  <definedNames>
    <definedName name="_xlnm.Print_Area" localSheetId="1">'Rep 1'!$A$1:$Z$29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7" l="1"/>
  <c r="L18" i="17"/>
  <c r="I17" i="10"/>
  <c r="S17" i="10"/>
  <c r="T17" i="10"/>
  <c r="U17" i="10"/>
  <c r="V17" i="10"/>
  <c r="T19" i="10"/>
  <c r="U19" i="10"/>
  <c r="V19" i="10"/>
  <c r="I20" i="10"/>
  <c r="T20" i="10"/>
  <c r="U20" i="10"/>
  <c r="V20" i="10"/>
  <c r="L19" i="17"/>
  <c r="S22" i="10"/>
  <c r="S21" i="10"/>
  <c r="N15" i="17"/>
  <c r="N14" i="17"/>
  <c r="N13" i="17"/>
  <c r="N12" i="17"/>
  <c r="N11" i="17"/>
  <c r="N10" i="17"/>
  <c r="N9" i="17"/>
  <c r="N8" i="17"/>
  <c r="N7" i="17"/>
  <c r="N6" i="17"/>
  <c r="N5" i="17"/>
  <c r="L15" i="17"/>
  <c r="L14" i="17"/>
  <c r="L13" i="17"/>
  <c r="L12" i="17"/>
  <c r="L11" i="17"/>
  <c r="L10" i="17"/>
  <c r="L9" i="17"/>
  <c r="L8" i="17"/>
  <c r="L7" i="17"/>
  <c r="L6" i="17"/>
  <c r="L5" i="17"/>
  <c r="G15" i="17"/>
  <c r="G14" i="17"/>
  <c r="G13" i="17"/>
  <c r="G12" i="17"/>
  <c r="G11" i="17"/>
  <c r="G10" i="17"/>
  <c r="G9" i="17"/>
  <c r="G7" i="17"/>
  <c r="G6" i="17"/>
  <c r="G5" i="17"/>
  <c r="L32" i="17"/>
  <c r="L28" i="17"/>
  <c r="L27" i="17"/>
  <c r="L26" i="17"/>
  <c r="F26" i="10"/>
  <c r="M26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8" i="10"/>
  <c r="T21" i="10"/>
  <c r="T22" i="10"/>
  <c r="T26" i="10"/>
  <c r="I23" i="10"/>
  <c r="I24" i="10"/>
  <c r="I25" i="10"/>
  <c r="K4" i="7"/>
  <c r="L4" i="7"/>
  <c r="M4" i="7"/>
  <c r="K3" i="7"/>
  <c r="K13" i="7"/>
  <c r="H13" i="7"/>
  <c r="H11" i="7"/>
  <c r="H10" i="7"/>
  <c r="S24" i="10"/>
  <c r="U24" i="10"/>
  <c r="V24" i="10"/>
  <c r="S25" i="10"/>
  <c r="S23" i="10"/>
  <c r="U25" i="10"/>
  <c r="U23" i="10"/>
  <c r="E24" i="10"/>
  <c r="E25" i="10"/>
  <c r="E23" i="10"/>
  <c r="D24" i="10"/>
  <c r="D25" i="10"/>
  <c r="D23" i="10"/>
  <c r="C24" i="10"/>
  <c r="C25" i="10"/>
  <c r="C23" i="10"/>
  <c r="A28" i="10"/>
  <c r="V23" i="10"/>
  <c r="H24" i="10"/>
  <c r="W24" i="10"/>
  <c r="V25" i="10"/>
  <c r="H23" i="10"/>
  <c r="H25" i="10"/>
  <c r="W23" i="10"/>
  <c r="W25" i="10"/>
  <c r="I3" i="7"/>
  <c r="M3" i="7"/>
  <c r="L3" i="7"/>
  <c r="I27" i="7"/>
  <c r="F4" i="7"/>
  <c r="C15" i="7"/>
  <c r="N28" i="10"/>
  <c r="C7" i="10"/>
  <c r="U18" i="10"/>
  <c r="I18" i="10"/>
  <c r="D18" i="10"/>
  <c r="D17" i="10"/>
  <c r="G19" i="10"/>
  <c r="K6" i="10"/>
  <c r="M52" i="7"/>
  <c r="U21" i="10"/>
  <c r="H17" i="10"/>
  <c r="U22" i="10"/>
  <c r="I22" i="10"/>
  <c r="E22" i="10"/>
  <c r="D22" i="10"/>
  <c r="C22" i="10"/>
  <c r="I21" i="10"/>
  <c r="E21" i="10"/>
  <c r="D21" i="10"/>
  <c r="C21" i="10"/>
  <c r="M55" i="7"/>
  <c r="M17" i="7"/>
  <c r="F24" i="7"/>
  <c r="C58" i="7"/>
  <c r="M34" i="7"/>
  <c r="M35" i="7"/>
  <c r="M36" i="7"/>
  <c r="M37" i="7"/>
  <c r="M38" i="7"/>
  <c r="M39" i="7"/>
  <c r="M40" i="7"/>
  <c r="M33" i="7"/>
  <c r="K34" i="7"/>
  <c r="K35" i="7"/>
  <c r="K36" i="7"/>
  <c r="K37" i="7"/>
  <c r="K38" i="7"/>
  <c r="K39" i="7"/>
  <c r="K40" i="7"/>
  <c r="K33" i="7"/>
  <c r="O21" i="17"/>
  <c r="Q6" i="10"/>
  <c r="Q26" i="10"/>
  <c r="H9" i="13"/>
  <c r="J8" i="13"/>
  <c r="F28" i="7"/>
  <c r="K23" i="7"/>
  <c r="K26" i="7"/>
  <c r="K27" i="7"/>
  <c r="C8" i="10"/>
  <c r="D7" i="10"/>
  <c r="Q2" i="10"/>
  <c r="A12" i="11"/>
  <c r="B15" i="11"/>
  <c r="D3" i="13"/>
  <c r="D4" i="13"/>
  <c r="M2" i="7"/>
  <c r="K46" i="7"/>
  <c r="F3" i="7"/>
  <c r="K11" i="7"/>
  <c r="M11" i="7"/>
  <c r="K21" i="7"/>
  <c r="K22" i="7"/>
  <c r="K24" i="7"/>
  <c r="K25" i="7"/>
  <c r="F26" i="7"/>
  <c r="F27" i="7"/>
  <c r="M31" i="7"/>
  <c r="E58" i="7"/>
  <c r="I58" i="7"/>
  <c r="C2" i="10"/>
  <c r="D2" i="13"/>
  <c r="K2" i="10"/>
  <c r="C5" i="10"/>
  <c r="D5" i="10"/>
  <c r="G5" i="10"/>
  <c r="I5" i="10"/>
  <c r="J5" i="10"/>
  <c r="K5" i="10"/>
  <c r="L5" i="10"/>
  <c r="N5" i="10"/>
  <c r="O5" i="10"/>
  <c r="P5" i="10"/>
  <c r="R5" i="10"/>
  <c r="U5" i="10"/>
  <c r="X5" i="10"/>
  <c r="Y5" i="10"/>
  <c r="Z5" i="10"/>
  <c r="G6" i="10"/>
  <c r="I6" i="10"/>
  <c r="J6" i="10"/>
  <c r="L6" i="10"/>
  <c r="N6" i="10"/>
  <c r="O6" i="10"/>
  <c r="P6" i="10"/>
  <c r="R6" i="10"/>
  <c r="U6" i="10"/>
  <c r="X6" i="10"/>
  <c r="Y6" i="10"/>
  <c r="Z6" i="10"/>
  <c r="G7" i="10"/>
  <c r="J7" i="10"/>
  <c r="L7" i="10"/>
  <c r="N7" i="10"/>
  <c r="O7" i="10"/>
  <c r="P7" i="10"/>
  <c r="R7" i="10"/>
  <c r="U7" i="10"/>
  <c r="X7" i="10"/>
  <c r="Y7" i="10"/>
  <c r="Z7" i="10"/>
  <c r="G8" i="10"/>
  <c r="J8" i="10"/>
  <c r="L8" i="10"/>
  <c r="N8" i="10"/>
  <c r="O8" i="10"/>
  <c r="P8" i="10"/>
  <c r="R8" i="10"/>
  <c r="U8" i="10"/>
  <c r="X8" i="10"/>
  <c r="Y8" i="10"/>
  <c r="Z8" i="10"/>
  <c r="G9" i="10"/>
  <c r="J9" i="10"/>
  <c r="L9" i="10"/>
  <c r="N9" i="10"/>
  <c r="O9" i="10"/>
  <c r="P9" i="10"/>
  <c r="R9" i="10"/>
  <c r="U9" i="10"/>
  <c r="X9" i="10"/>
  <c r="Y9" i="10"/>
  <c r="Z9" i="10"/>
  <c r="G10" i="10"/>
  <c r="J10" i="10"/>
  <c r="L10" i="10"/>
  <c r="N10" i="10"/>
  <c r="O10" i="10"/>
  <c r="P10" i="10"/>
  <c r="R10" i="10"/>
  <c r="U10" i="10"/>
  <c r="X10" i="10"/>
  <c r="Y10" i="10"/>
  <c r="Z10" i="10"/>
  <c r="G11" i="10"/>
  <c r="J11" i="10"/>
  <c r="L11" i="10"/>
  <c r="N11" i="10"/>
  <c r="O11" i="10"/>
  <c r="P11" i="10"/>
  <c r="R11" i="10"/>
  <c r="U11" i="10"/>
  <c r="X11" i="10"/>
  <c r="Y11" i="10"/>
  <c r="Z11" i="10"/>
  <c r="G12" i="10"/>
  <c r="J12" i="10"/>
  <c r="L12" i="10"/>
  <c r="N12" i="10"/>
  <c r="O12" i="10"/>
  <c r="P12" i="10"/>
  <c r="R12" i="10"/>
  <c r="U12" i="10"/>
  <c r="X12" i="10"/>
  <c r="Y12" i="10"/>
  <c r="Z12" i="10"/>
  <c r="G13" i="10"/>
  <c r="J13" i="10"/>
  <c r="L13" i="10"/>
  <c r="N13" i="10"/>
  <c r="O13" i="10"/>
  <c r="P13" i="10"/>
  <c r="R13" i="10"/>
  <c r="U13" i="10"/>
  <c r="X13" i="10"/>
  <c r="Y13" i="10"/>
  <c r="Z13" i="10"/>
  <c r="G14" i="10"/>
  <c r="J14" i="10"/>
  <c r="L14" i="10"/>
  <c r="N14" i="10"/>
  <c r="O14" i="10"/>
  <c r="P14" i="10"/>
  <c r="R14" i="10"/>
  <c r="U14" i="10"/>
  <c r="X14" i="10"/>
  <c r="Y14" i="10"/>
  <c r="Z14" i="10"/>
  <c r="G15" i="10"/>
  <c r="J15" i="10"/>
  <c r="L15" i="10"/>
  <c r="N15" i="10"/>
  <c r="O15" i="10"/>
  <c r="P15" i="10"/>
  <c r="R15" i="10"/>
  <c r="U15" i="10"/>
  <c r="X15" i="10"/>
  <c r="Y15" i="10"/>
  <c r="Z15" i="10"/>
  <c r="G16" i="10"/>
  <c r="J16" i="10"/>
  <c r="L16" i="10"/>
  <c r="N16" i="10"/>
  <c r="O16" i="10"/>
  <c r="P16" i="10"/>
  <c r="R16" i="10"/>
  <c r="U16" i="10"/>
  <c r="X16" i="10"/>
  <c r="Y16" i="10"/>
  <c r="Z16" i="10"/>
  <c r="X17" i="10"/>
  <c r="Y17" i="10"/>
  <c r="Z17" i="10"/>
  <c r="X18" i="10"/>
  <c r="Y18" i="10"/>
  <c r="Z18" i="10"/>
  <c r="H19" i="10"/>
  <c r="X19" i="10"/>
  <c r="Y19" i="10"/>
  <c r="Z19" i="10"/>
  <c r="C20" i="10"/>
  <c r="D20" i="10"/>
  <c r="H20" i="10"/>
  <c r="X20" i="10"/>
  <c r="Y20" i="10"/>
  <c r="Z20" i="10"/>
  <c r="X21" i="10"/>
  <c r="Y21" i="10"/>
  <c r="Z21" i="10"/>
  <c r="X22" i="10"/>
  <c r="Y22" i="10"/>
  <c r="Z22" i="10"/>
  <c r="D3" i="17"/>
  <c r="E4" i="17"/>
  <c r="B5" i="10"/>
  <c r="E5" i="17"/>
  <c r="B6" i="10"/>
  <c r="C6" i="10"/>
  <c r="E6" i="17"/>
  <c r="B7" i="10"/>
  <c r="E7" i="17"/>
  <c r="B8" i="10"/>
  <c r="E8" i="17"/>
  <c r="B9" i="10"/>
  <c r="E9" i="17"/>
  <c r="B10" i="10"/>
  <c r="E10" i="17"/>
  <c r="B11" i="10"/>
  <c r="E11" i="17"/>
  <c r="B12" i="10"/>
  <c r="E12" i="17"/>
  <c r="B13" i="10"/>
  <c r="E13" i="17"/>
  <c r="B14" i="10"/>
  <c r="E14" i="17"/>
  <c r="B15" i="10"/>
  <c r="E15" i="17"/>
  <c r="B16" i="10"/>
  <c r="G26" i="10"/>
  <c r="O26" i="10"/>
  <c r="N26" i="10"/>
  <c r="P26" i="10"/>
  <c r="F23" i="7"/>
  <c r="L26" i="10"/>
  <c r="J26" i="10"/>
  <c r="R26" i="10"/>
  <c r="B5" i="7"/>
  <c r="A1" i="10"/>
  <c r="A1" i="7"/>
  <c r="I59" i="7"/>
  <c r="J59" i="7"/>
  <c r="M59" i="7"/>
  <c r="G59" i="7"/>
  <c r="U26" i="10"/>
  <c r="V21" i="10"/>
  <c r="I7" i="10"/>
  <c r="K7" i="10"/>
  <c r="K8" i="10"/>
  <c r="C59" i="7"/>
  <c r="E15" i="7"/>
  <c r="F15" i="7"/>
  <c r="I15" i="7"/>
  <c r="M15" i="7"/>
  <c r="W19" i="10"/>
  <c r="C46" i="7"/>
  <c r="C47" i="7"/>
  <c r="M41" i="7"/>
  <c r="F2" i="7"/>
  <c r="G58" i="7"/>
  <c r="E59" i="7"/>
  <c r="E5" i="10"/>
  <c r="H5" i="10"/>
  <c r="W20" i="10"/>
  <c r="A16" i="11"/>
  <c r="B16" i="11"/>
  <c r="C15" i="11"/>
  <c r="D15" i="11"/>
  <c r="F25" i="7"/>
  <c r="H21" i="10"/>
  <c r="E6" i="10"/>
  <c r="D6" i="10"/>
  <c r="S5" i="10"/>
  <c r="V5" i="10"/>
  <c r="S7" i="10"/>
  <c r="E8" i="10"/>
  <c r="D8" i="10"/>
  <c r="E7" i="10"/>
  <c r="V22" i="10"/>
  <c r="W17" i="10"/>
  <c r="I8" i="10"/>
  <c r="V7" i="10"/>
  <c r="K9" i="10"/>
  <c r="C9" i="10"/>
  <c r="H22" i="10"/>
  <c r="W21" i="10"/>
  <c r="F16" i="11"/>
  <c r="E16" i="11"/>
  <c r="E15" i="11"/>
  <c r="G16" i="11"/>
  <c r="D16" i="11"/>
  <c r="H16" i="11"/>
  <c r="C16" i="11"/>
  <c r="W5" i="10"/>
  <c r="H6" i="10"/>
  <c r="C10" i="10"/>
  <c r="S6" i="10"/>
  <c r="V6" i="10"/>
  <c r="H8" i="10"/>
  <c r="S8" i="10"/>
  <c r="H7" i="10"/>
  <c r="E9" i="10"/>
  <c r="W22" i="10"/>
  <c r="W6" i="10"/>
  <c r="I9" i="10"/>
  <c r="K10" i="10"/>
  <c r="D9" i="10"/>
  <c r="D10" i="10"/>
  <c r="E10" i="10"/>
  <c r="C11" i="10"/>
  <c r="V8" i="10"/>
  <c r="W7" i="10"/>
  <c r="S9" i="10"/>
  <c r="I10" i="10"/>
  <c r="K11" i="10"/>
  <c r="H9" i="10"/>
  <c r="S18" i="10"/>
  <c r="V18" i="10"/>
  <c r="H18" i="10"/>
  <c r="D11" i="10"/>
  <c r="S11" i="10"/>
  <c r="E11" i="10"/>
  <c r="S10" i="10"/>
  <c r="C12" i="10"/>
  <c r="H10" i="10"/>
  <c r="W8" i="10"/>
  <c r="V9" i="10"/>
  <c r="I11" i="10"/>
  <c r="V11" i="10"/>
  <c r="K12" i="10"/>
  <c r="W18" i="10"/>
  <c r="H11" i="10"/>
  <c r="D12" i="10"/>
  <c r="S12" i="10"/>
  <c r="E12" i="10"/>
  <c r="V10" i="10"/>
  <c r="W10" i="10"/>
  <c r="C13" i="10"/>
  <c r="W9" i="10"/>
  <c r="W11" i="10"/>
  <c r="I12" i="10"/>
  <c r="V12" i="10"/>
  <c r="K13" i="10"/>
  <c r="E13" i="10"/>
  <c r="D13" i="10"/>
  <c r="C14" i="10"/>
  <c r="H12" i="10"/>
  <c r="S13" i="10"/>
  <c r="I13" i="10"/>
  <c r="K14" i="10"/>
  <c r="D14" i="10"/>
  <c r="S14" i="10"/>
  <c r="E14" i="10"/>
  <c r="H13" i="10"/>
  <c r="W12" i="10"/>
  <c r="C16" i="10"/>
  <c r="C15" i="10"/>
  <c r="C26" i="10"/>
  <c r="V13" i="10"/>
  <c r="W13" i="10"/>
  <c r="I14" i="10"/>
  <c r="V14" i="10"/>
  <c r="K16" i="10"/>
  <c r="K15" i="10"/>
  <c r="E16" i="10"/>
  <c r="D16" i="10"/>
  <c r="S16" i="10"/>
  <c r="H14" i="10"/>
  <c r="E15" i="10"/>
  <c r="D15" i="10"/>
  <c r="K26" i="10"/>
  <c r="F22" i="7"/>
  <c r="E26" i="10"/>
  <c r="J6" i="13"/>
  <c r="D26" i="10"/>
  <c r="J10" i="13"/>
  <c r="J13" i="13"/>
  <c r="I15" i="10"/>
  <c r="I16" i="10"/>
  <c r="H15" i="10"/>
  <c r="H16" i="10"/>
  <c r="W14" i="10"/>
  <c r="S15" i="10"/>
  <c r="S26" i="10"/>
  <c r="I26" i="10"/>
  <c r="F21" i="7"/>
  <c r="H26" i="10"/>
  <c r="V16" i="10"/>
  <c r="W16" i="10"/>
  <c r="V15" i="10"/>
  <c r="J15" i="13"/>
  <c r="M6" i="7"/>
  <c r="V26" i="10"/>
  <c r="F29" i="7"/>
  <c r="K28" i="7"/>
  <c r="M21" i="7"/>
  <c r="M30" i="7"/>
  <c r="M5" i="7"/>
  <c r="M7" i="7"/>
  <c r="J8" i="7"/>
  <c r="K8" i="7"/>
  <c r="W15" i="10"/>
  <c r="W26" i="10"/>
  <c r="M8" i="7"/>
  <c r="M9" i="7"/>
  <c r="M42" i="7"/>
  <c r="M12" i="7"/>
  <c r="M16" i="7"/>
  <c r="M18" i="7"/>
  <c r="M43" i="7"/>
  <c r="M44" i="7"/>
  <c r="I52" i="7"/>
  <c r="K52" i="7"/>
  <c r="M48" i="7"/>
  <c r="I50" i="7"/>
  <c r="K50" i="7"/>
  <c r="M50" i="7"/>
  <c r="M47" i="7"/>
  <c r="M49" i="7"/>
  <c r="M51" i="7"/>
  <c r="M53" i="7"/>
  <c r="M54" i="7"/>
  <c r="M56" i="7"/>
  <c r="M6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Preksha</author>
  </authors>
  <commentList>
    <comment ref="F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
</t>
        </r>
      </text>
    </comment>
    <comment ref="F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4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F1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Y/N</t>
        </r>
      </text>
    </comment>
    <comment ref="E1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Preksha:</t>
        </r>
        <r>
          <rPr>
            <sz val="8"/>
            <color indexed="81"/>
            <rFont val="Tahoma"/>
            <family val="2"/>
          </rPr>
          <t xml:space="preserve">
Fill DA Rate
In Y16</t>
        </r>
      </text>
    </comment>
  </commentList>
</comments>
</file>

<file path=xl/sharedStrings.xml><?xml version="1.0" encoding="utf-8"?>
<sst xmlns="http://schemas.openxmlformats.org/spreadsheetml/2006/main" count="471" uniqueCount="346">
  <si>
    <t>(a)</t>
  </si>
  <si>
    <t>LIC</t>
  </si>
  <si>
    <t>PPF</t>
  </si>
  <si>
    <t>(b)</t>
  </si>
  <si>
    <t>NAME</t>
  </si>
  <si>
    <t>Total</t>
  </si>
  <si>
    <t>(Rupees</t>
  </si>
  <si>
    <t>LAC</t>
  </si>
  <si>
    <t>THOUSAND</t>
  </si>
  <si>
    <t>HUNDRED</t>
  </si>
  <si>
    <t>TENS</t>
  </si>
  <si>
    <t xml:space="preserve"> </t>
  </si>
  <si>
    <t>Rs.</t>
  </si>
  <si>
    <t>(A)</t>
  </si>
  <si>
    <t>(B)</t>
  </si>
  <si>
    <t>Tax Calculation:</t>
  </si>
  <si>
    <t xml:space="preserve">( i ) </t>
  </si>
  <si>
    <t xml:space="preserve">( ii ) </t>
  </si>
  <si>
    <t xml:space="preserve">( iii ) </t>
  </si>
  <si>
    <t xml:space="preserve">( iv ) </t>
  </si>
  <si>
    <t>ULIP/PLI</t>
  </si>
  <si>
    <t>Interest on NSC</t>
  </si>
  <si>
    <t>POST</t>
  </si>
  <si>
    <t>OFFICE</t>
  </si>
  <si>
    <t>Payments</t>
  </si>
  <si>
    <t>S.No.</t>
  </si>
  <si>
    <t>MONTH</t>
  </si>
  <si>
    <t>BASIC</t>
  </si>
  <si>
    <t>HRA</t>
  </si>
  <si>
    <t>Gross Pay</t>
  </si>
  <si>
    <t>SI               Premium</t>
  </si>
  <si>
    <t>HBA/HDFC Premium</t>
  </si>
  <si>
    <t>HBAHDFC Interest</t>
  </si>
  <si>
    <t>General Insurance</t>
  </si>
  <si>
    <t>Income tax</t>
  </si>
  <si>
    <t>Total Deductions</t>
  </si>
  <si>
    <t>Net Payment</t>
  </si>
  <si>
    <t>(i)</t>
  </si>
  <si>
    <t>(ii)</t>
  </si>
  <si>
    <t>U/S 16(ii) Entertainment Allowance</t>
  </si>
  <si>
    <t>U/S 16(iii) Professional Tax</t>
  </si>
  <si>
    <t xml:space="preserve">(ii) Rent Earned </t>
  </si>
  <si>
    <t>Interest on House Loan</t>
  </si>
  <si>
    <t>House Tax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</si>
  <si>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</si>
  <si>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</si>
  <si>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</si>
  <si>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</si>
  <si>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</si>
  <si>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</si>
  <si>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</si>
  <si>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</si>
  <si>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</si>
  <si>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</si>
  <si>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</si>
  <si>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Tuition Fees</t>
  </si>
  <si>
    <t>OTHER</t>
  </si>
  <si>
    <t>Deductions</t>
  </si>
  <si>
    <t>Bonus</t>
  </si>
  <si>
    <t xml:space="preserve">BILL NO </t>
  </si>
  <si>
    <t>DATE</t>
  </si>
  <si>
    <t>Encashment  Date</t>
  </si>
  <si>
    <t xml:space="preserve">one </t>
  </si>
  <si>
    <t>two</t>
  </si>
  <si>
    <t>three</t>
  </si>
  <si>
    <t>four</t>
  </si>
  <si>
    <t>five</t>
  </si>
  <si>
    <t xml:space="preserve">six 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</si>
  <si>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</si>
  <si>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</si>
  <si>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</si>
  <si>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</si>
  <si>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</si>
  <si>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</si>
  <si>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</si>
  <si>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</si>
  <si>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</si>
  <si>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</si>
  <si>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</si>
  <si>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</si>
  <si>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</si>
  <si>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</si>
  <si>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</si>
  <si>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</si>
  <si>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</si>
  <si>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</si>
  <si>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</si>
  <si>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</si>
  <si>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</si>
  <si>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</si>
  <si>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</si>
  <si>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</si>
  <si>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</si>
  <si>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</si>
  <si>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</si>
  <si>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</si>
  <si>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</si>
  <si>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</si>
  <si>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</si>
  <si>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</si>
  <si>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</si>
  <si>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fourty</t>
  </si>
  <si>
    <t>fourty one</t>
  </si>
  <si>
    <t xml:space="preserve">fourty two 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</si>
  <si>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</si>
  <si>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</si>
  <si>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</si>
  <si>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</si>
  <si>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</si>
  <si>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</si>
  <si>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</si>
  <si>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</si>
  <si>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</si>
  <si>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</si>
  <si>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</si>
  <si>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</si>
  <si>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</si>
  <si>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</si>
  <si>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</si>
  <si>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</si>
  <si>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</si>
  <si>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</si>
  <si>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</si>
  <si>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</si>
  <si>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</si>
  <si>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</si>
  <si>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</si>
  <si>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</si>
  <si>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</si>
  <si>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</si>
  <si>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</si>
  <si>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</si>
  <si>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</si>
  <si>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</si>
  <si>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</si>
  <si>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 xml:space="preserve">seventy four 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</si>
  <si>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</si>
  <si>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</si>
  <si>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</si>
  <si>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</si>
  <si>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</si>
  <si>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</si>
  <si>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</si>
  <si>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</si>
  <si>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</si>
  <si>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</si>
  <si>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</si>
  <si>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</si>
  <si>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</si>
  <si>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</si>
  <si>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</si>
  <si>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</si>
  <si>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</si>
  <si>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</si>
  <si>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</si>
  <si>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</si>
  <si>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</si>
  <si>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</si>
  <si>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</si>
  <si>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</si>
  <si>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</si>
  <si>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hundred</t>
  </si>
  <si>
    <t>House Rent Allowance U/S. 10(13-A)Other Exempted Allowance U/S10(14)</t>
  </si>
  <si>
    <t>Any Other Income</t>
  </si>
  <si>
    <t>Surcharge of 10% if Net Income above Rs. 1000000</t>
  </si>
  <si>
    <t>Sex</t>
  </si>
  <si>
    <t>Month</t>
  </si>
  <si>
    <t>Basic</t>
  </si>
  <si>
    <t>GPF</t>
  </si>
  <si>
    <t xml:space="preserve">NAME </t>
  </si>
  <si>
    <t>Post</t>
  </si>
  <si>
    <t>NSC</t>
  </si>
  <si>
    <t>CTD 10/15 Years</t>
  </si>
  <si>
    <t>U/S 80 D</t>
  </si>
  <si>
    <t>U/S 80 DD</t>
  </si>
  <si>
    <t>U/S 80 DDB</t>
  </si>
  <si>
    <t>U/S 80 E</t>
  </si>
  <si>
    <t>U/S 80 G</t>
  </si>
  <si>
    <t>U/S 80 GG</t>
  </si>
  <si>
    <t>U/S 80 U</t>
  </si>
  <si>
    <t>Medical Insruance Policy Premium</t>
  </si>
  <si>
    <t>Medical treatment dependent handicapped person</t>
  </si>
  <si>
    <t>Physically  handicapped person or blind person</t>
  </si>
  <si>
    <t>Interest on Higher Education Loan</t>
  </si>
  <si>
    <t>Donation to charitable institution 50% and 100%</t>
  </si>
  <si>
    <t>Spl ded. to the guardian of a patient suffering from cancer or Aids</t>
  </si>
  <si>
    <t>Other sections  80D,80DD,80DDB,80E,80G,80GG,80GGA,80U etc. under Chapter VI-A</t>
  </si>
  <si>
    <t>Deduction</t>
  </si>
  <si>
    <t>Qualifying amount</t>
  </si>
  <si>
    <t>Deduction of Payment about Building Rent</t>
  </si>
  <si>
    <t>Net Taxable Income rounded to multiple of 10 (U/S 288A)</t>
  </si>
  <si>
    <t>Com. Pens. Fund</t>
  </si>
  <si>
    <t>Net Taxable Income [10-12]</t>
  </si>
  <si>
    <t>Relief under section 89 (attach details)</t>
  </si>
  <si>
    <t>TAX PAYABLE (17-18)</t>
  </si>
  <si>
    <t>House Loan Prem.</t>
  </si>
  <si>
    <t>Name</t>
  </si>
  <si>
    <t>PAN No.</t>
  </si>
  <si>
    <t>Office</t>
  </si>
  <si>
    <t>SEX</t>
  </si>
  <si>
    <t>NPS</t>
  </si>
  <si>
    <t>Balance (2-3)</t>
  </si>
  <si>
    <t>Total 7(i) + 7(ii)</t>
  </si>
  <si>
    <t>Income From House Property (i) For self Use</t>
  </si>
  <si>
    <t>Balance 7(A)-7(B)</t>
  </si>
  <si>
    <t>Total Balance (6+7)</t>
  </si>
  <si>
    <t>Less 30% of Rent</t>
  </si>
  <si>
    <t>Financial Year</t>
  </si>
  <si>
    <t>CPF</t>
  </si>
  <si>
    <t>Rate DA %</t>
  </si>
  <si>
    <t>Rate HRA %</t>
  </si>
  <si>
    <t xml:space="preserve">GOVT QTR </t>
  </si>
  <si>
    <t xml:space="preserve">DA </t>
  </si>
  <si>
    <t>CLACULATION OF HOUSE RENT OF HOUSE RENT ALLOWENCE   [U/S-10-13-A]</t>
  </si>
  <si>
    <t>RPMF</t>
  </si>
  <si>
    <t>RPFM</t>
  </si>
  <si>
    <t>Surender</t>
  </si>
  <si>
    <t>Other Arrear</t>
  </si>
  <si>
    <t>DA Arr 1</t>
  </si>
  <si>
    <t>DA Arr 2</t>
  </si>
  <si>
    <t>HOUSE RENT ACTUALLY PAID -10% (SALARY+DP+DA)</t>
  </si>
  <si>
    <t>SIGNATURE OF GOVERNMENT SERVANT</t>
  </si>
  <si>
    <t>(xv)</t>
  </si>
  <si>
    <t>Other</t>
  </si>
  <si>
    <t xml:space="preserve">OtherDeductons </t>
  </si>
  <si>
    <t>Total Deductions [(12) to (19) ]</t>
  </si>
  <si>
    <t>Aggragate of deductible Amount  [11+20]</t>
  </si>
  <si>
    <t>TOTAL INCOME TAX PAYABLE [(a)+(b)+(c)]</t>
  </si>
  <si>
    <t>(xiv)</t>
  </si>
  <si>
    <t>Total TDS</t>
  </si>
  <si>
    <t>Tax Deducted at Source[ u/s 192(i) ] as under Up To-</t>
  </si>
  <si>
    <t xml:space="preserve">INCOME TAX PAYABLE / REFUNDABLE </t>
  </si>
  <si>
    <t>Name  :</t>
  </si>
  <si>
    <t>Designation</t>
  </si>
  <si>
    <t>GIS/SIST</t>
  </si>
  <si>
    <t>Where the total income  exceed Rs.500000 but does not exceed Rs.1000000 @ 20%</t>
  </si>
  <si>
    <t xml:space="preserve"> THE HOUSE RENT AMOUNT ACTUL   DELIVERED IN FINANCIAL YEER 2012-2013    </t>
  </si>
  <si>
    <t>GPF Loan</t>
  </si>
  <si>
    <t>SI Loan</t>
  </si>
  <si>
    <t>GPF
LOAN</t>
  </si>
  <si>
    <t>SI
LOAN</t>
  </si>
  <si>
    <t>N</t>
  </si>
  <si>
    <t>(xvi)</t>
  </si>
  <si>
    <t>Surrender Basic</t>
  </si>
  <si>
    <t>ACP Arrear</t>
  </si>
  <si>
    <t>ACP Arr</t>
  </si>
  <si>
    <t>Govt.'s Pens. Fund</t>
  </si>
  <si>
    <t>NET INCOME TAX PAYABLE : [(i)+(ii)+(iii)+(iv)-(v)]</t>
  </si>
  <si>
    <t>CM Relief Fund</t>
  </si>
  <si>
    <t>A</t>
  </si>
  <si>
    <t>B</t>
  </si>
  <si>
    <t>C</t>
  </si>
  <si>
    <t>Sttn. 
All.</t>
  </si>
  <si>
    <t>D.A.</t>
  </si>
  <si>
    <t>H.R.A.</t>
  </si>
  <si>
    <t>HBA/
HDFC Premium</t>
  </si>
  <si>
    <t>HBA
HDFC Interest</t>
  </si>
  <si>
    <t>Persenol Details</t>
  </si>
  <si>
    <t xml:space="preserve">Deduction </t>
  </si>
  <si>
    <t xml:space="preserve">HOUSE RENT RECEIVED IN FINANCIAL YEER    2014-2015  </t>
  </si>
  <si>
    <t xml:space="preserve">HOUSE RENT PAID IN THE FINANCIAL YEER     2014-2015   </t>
  </si>
  <si>
    <t>]</t>
  </si>
  <si>
    <t xml:space="preserve">(SALARY+DP+DA)10% IN FINANCIAL YEER    2014-2015   </t>
  </si>
  <si>
    <t>Where the total income  exceed Rs.1000000  @ 30%</t>
  </si>
  <si>
    <t>SI               Prem</t>
  </si>
  <si>
    <t>Gross Total Income</t>
  </si>
  <si>
    <t xml:space="preserve">DEDUCTION UNDER SECTION 80 C, 80 CCC, 80 CCD(1) </t>
  </si>
  <si>
    <t>MAXIMUM LIMIT Rs 150000 (Under Section 80 CCE</t>
  </si>
  <si>
    <t>OtherArr</t>
  </si>
  <si>
    <t>Sukanya Samridhhi Yojana</t>
  </si>
  <si>
    <t>Bank FDR 5 Year&amp; Above</t>
  </si>
  <si>
    <t>NPS  Prem. U/S 80ccc</t>
  </si>
  <si>
    <t xml:space="preserve"> Pension Plan 80CCC</t>
  </si>
  <si>
    <t>State Ins Premium</t>
  </si>
  <si>
    <t>Bank FDR 5 Yrs &amp; Above</t>
  </si>
  <si>
    <t>U/S 80 TTA</t>
  </si>
  <si>
    <t>Interest From Saving Bank Account Max 10000</t>
  </si>
  <si>
    <t>Generel Ins Premium</t>
  </si>
  <si>
    <t>Ser Tax</t>
  </si>
  <si>
    <t>Prem</t>
  </si>
  <si>
    <t>Other Income</t>
  </si>
  <si>
    <t>Bank FDR</t>
  </si>
  <si>
    <t>S.B. Int.</t>
  </si>
  <si>
    <t>H.R. Paid</t>
  </si>
  <si>
    <t>How To Use</t>
  </si>
  <si>
    <t>Fill Personel Details</t>
  </si>
  <si>
    <t>Fill Deductions Under Section 80/80C/80 CCC</t>
  </si>
  <si>
    <t>Fill Deductions Under Chapter VI A</t>
  </si>
  <si>
    <t>Fill Other Income &amp; Arreares Amount</t>
  </si>
  <si>
    <t>Relief U/S 88</t>
  </si>
  <si>
    <t>Fill Basic Pay Of Per month in colum G</t>
  </si>
  <si>
    <t>Balance (6 -7)</t>
  </si>
  <si>
    <t xml:space="preserve"> NPS 10% By Employee</t>
  </si>
  <si>
    <t>BILL DATE</t>
  </si>
  <si>
    <t>Health and Education cess @4%(Income tax)</t>
  </si>
  <si>
    <t xml:space="preserve">(c) </t>
  </si>
  <si>
    <t>Life Insurance Premium</t>
  </si>
  <si>
    <t>House Loan Interest</t>
  </si>
  <si>
    <t>House Loan Premium</t>
  </si>
  <si>
    <t>Sukanya Samridhi Yojana</t>
  </si>
  <si>
    <t>DDO Name</t>
  </si>
  <si>
    <t>RAJENDRA KUMAR GAGGAR</t>
  </si>
  <si>
    <t xml:space="preserve">                                                                                                                 Signature Of Employee </t>
  </si>
  <si>
    <t>Gen Provident Fund</t>
  </si>
  <si>
    <t>Less - U/S 80 CCE 80 CCD(2) (Government,s contribution in NPS (10% of Salary)</t>
  </si>
  <si>
    <t>Less -U/S 80 CCE 80 CCD(1B)Contribution in NPS by Indivividual upto Rs 50000</t>
  </si>
  <si>
    <t>Donation to charitable institutions 50% or 100%</t>
  </si>
  <si>
    <t>Less Standard Deduction ( Under Section 24 )</t>
  </si>
  <si>
    <t>Balance Income(4-5)</t>
  </si>
  <si>
    <t>Entertenment Allowance</t>
  </si>
  <si>
    <t>Professional Tax</t>
  </si>
  <si>
    <t>Income From House Property</t>
  </si>
  <si>
    <t>Self Use</t>
  </si>
  <si>
    <t>Rent Earned</t>
  </si>
  <si>
    <t>TOTAL DEDUCTIONS ( i to xvi )</t>
  </si>
  <si>
    <t>TOTAL ELIGIBLE DEDUCTIONS Max. amount Rs 150000</t>
  </si>
  <si>
    <t>TAN</t>
  </si>
  <si>
    <t>JDHH0599C</t>
  </si>
  <si>
    <t>GOVT HIGHER SEC SCHOOL RAYLA</t>
  </si>
  <si>
    <t>M</t>
  </si>
  <si>
    <t>PAN</t>
  </si>
  <si>
    <t>Sub</t>
  </si>
  <si>
    <t>Subject</t>
  </si>
  <si>
    <t>Self Deductions</t>
  </si>
  <si>
    <t>7 Pay Fix Arr I</t>
  </si>
  <si>
    <t>7 Pay Fix Arr II</t>
  </si>
  <si>
    <t>7 Pay Fix Arr III</t>
  </si>
  <si>
    <t>7 PayArr I</t>
  </si>
  <si>
    <t>7 PayArrII</t>
  </si>
  <si>
    <t>7 PayArrIII</t>
  </si>
  <si>
    <t xml:space="preserve">Office TAN </t>
  </si>
  <si>
    <t xml:space="preserve">                       DDO</t>
  </si>
  <si>
    <t xml:space="preserve">EMPLOYEE                                                                                                                                                                                                                                                   SIGNATURE OF DDO WITH SEAL                                                                                                                                                            </t>
  </si>
  <si>
    <t>INCOME TAX CALCULATION SYSTEM FOR GOVT. EMPLOYEES F.Y. 2019-20</t>
  </si>
  <si>
    <t>Rebate U/S 87A If Income is Less Than Rs.500000</t>
  </si>
  <si>
    <t>Y</t>
  </si>
  <si>
    <t>ABCDE1234F</t>
  </si>
  <si>
    <t>Z</t>
  </si>
  <si>
    <r>
      <rPr>
        <b/>
        <sz val="14"/>
        <color rgb="FFC00000"/>
        <rFont val="Calibri"/>
        <family val="2"/>
        <scheme val="minor"/>
      </rPr>
      <t xml:space="preserve">DEVELOPED  BY </t>
    </r>
    <r>
      <rPr>
        <b/>
        <sz val="11"/>
        <color rgb="FFC00000"/>
        <rFont val="Calibri"/>
        <family val="2"/>
        <scheme val="minor"/>
      </rPr>
      <t xml:space="preserve">
</t>
    </r>
    <r>
      <rPr>
        <b/>
        <sz val="14"/>
        <color indexed="56"/>
        <rFont val="Calibri"/>
        <family val="2"/>
      </rPr>
      <t>RAJENDRA KUMAR GAGGAR</t>
    </r>
    <r>
      <rPr>
        <b/>
        <sz val="11"/>
        <color indexed="60"/>
        <rFont val="Calibri"/>
        <family val="2"/>
      </rPr>
      <t xml:space="preserve">
</t>
    </r>
    <r>
      <rPr>
        <b/>
        <sz val="12"/>
        <color indexed="60"/>
        <rFont val="Calibri"/>
        <family val="2"/>
      </rPr>
      <t>PRINCIPAL , GSSS RAILA (BHILWARA)</t>
    </r>
    <r>
      <rPr>
        <b/>
        <sz val="11"/>
        <color indexed="60"/>
        <rFont val="Calibri"/>
        <family val="2"/>
      </rPr>
      <t xml:space="preserve">
</t>
    </r>
    <r>
      <rPr>
        <b/>
        <sz val="14"/>
        <color indexed="63"/>
        <rFont val="Calibri"/>
        <family val="2"/>
      </rPr>
      <t>MOB. 9950979225</t>
    </r>
    <r>
      <rPr>
        <b/>
        <sz val="11"/>
        <color indexed="60"/>
        <rFont val="Calibri"/>
        <family val="2"/>
      </rPr>
      <t xml:space="preserve">
</t>
    </r>
    <r>
      <rPr>
        <b/>
        <sz val="12"/>
        <color indexed="60"/>
        <rFont val="Calibri"/>
        <family val="2"/>
      </rPr>
      <t xml:space="preserve">EMAIL : </t>
    </r>
    <r>
      <rPr>
        <b/>
        <sz val="12"/>
        <color indexed="17"/>
        <rFont val="Calibri"/>
        <family val="2"/>
      </rPr>
      <t>rajendra.gaggar@gmail.com</t>
    </r>
  </si>
  <si>
    <t>Fill "Y" in Col F If You are in New Pension Scheme (NPS)</t>
  </si>
  <si>
    <t>Fill All Typeof Deductions in Column  L to Column  U</t>
  </si>
  <si>
    <t>Fill Bill No , Date &amp; Encashment Date In Col V,W,X</t>
  </si>
  <si>
    <t>If Necessary Edit DA Rates And HRA Rates as per Rule in Col Y &amp; Z</t>
  </si>
  <si>
    <t>QF Amt</t>
  </si>
  <si>
    <t>X</t>
  </si>
  <si>
    <t>Last Updated  On 11-12-2019 3.10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</si>
</sst>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\-yy;@"/>
    <numFmt numFmtId="165" formatCode="0.0%"/>
    <numFmt numFmtId="166" formatCode="0.00_);\(0.00\)"/>
    <numFmt numFmtId="167" formatCode="0_);\(0\)"/>
    <numFmt numFmtId="168" formatCode="[$-14009]dd/mm/yy;@"/>
  </numFmts>
  <fonts count="7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Shuriken Boy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i/>
      <sz val="11"/>
      <name val="Comic Sans MS"/>
      <family val="4"/>
    </font>
    <font>
      <sz val="11"/>
      <color indexed="10"/>
      <name val="Comic Sans MS"/>
      <family val="4"/>
    </font>
    <font>
      <sz val="11"/>
      <color indexed="9"/>
      <name val="Comic Sans MS"/>
      <family val="4"/>
    </font>
    <font>
      <b/>
      <sz val="8"/>
      <color indexed="58"/>
      <name val="Times New Roman"/>
      <family val="1"/>
    </font>
    <font>
      <b/>
      <sz val="8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9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6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color indexed="17"/>
      <name val="Calibri"/>
      <family val="2"/>
    </font>
    <font>
      <b/>
      <sz val="12"/>
      <color theme="1"/>
      <name val="Aharoni"/>
    </font>
    <font>
      <b/>
      <sz val="12"/>
      <color rgb="FF00B050"/>
      <name val="Calibri"/>
      <family val="2"/>
      <scheme val="minor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indexed="60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indexed="56"/>
      <name val="Calibri"/>
      <family val="2"/>
    </font>
    <font>
      <b/>
      <sz val="14"/>
      <color indexed="63"/>
      <name val="Calibri"/>
      <family val="2"/>
    </font>
    <font>
      <b/>
      <sz val="9"/>
      <color theme="1" tint="4.9989318521683403E-2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5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/>
    <xf numFmtId="0" fontId="5" fillId="0" borderId="0" xfId="1"/>
    <xf numFmtId="0" fontId="5" fillId="0" borderId="0" xfId="1" applyAlignment="1">
      <alignment shrinkToFit="1"/>
    </xf>
    <xf numFmtId="1" fontId="5" fillId="0" borderId="1" xfId="1" applyNumberFormat="1" applyBorder="1"/>
    <xf numFmtId="0" fontId="5" fillId="0" borderId="2" xfId="1" applyBorder="1" applyAlignment="1"/>
    <xf numFmtId="0" fontId="5" fillId="0" borderId="2" xfId="1" applyBorder="1"/>
    <xf numFmtId="0" fontId="5" fillId="0" borderId="3" xfId="1" applyBorder="1"/>
    <xf numFmtId="0" fontId="6" fillId="0" borderId="4" xfId="1" applyFont="1" applyBorder="1"/>
    <xf numFmtId="0" fontId="5" fillId="0" borderId="0" xfId="1" applyBorder="1"/>
    <xf numFmtId="0" fontId="5" fillId="0" borderId="0" xfId="1" applyBorder="1" applyAlignment="1">
      <alignment horizontal="center"/>
    </xf>
    <xf numFmtId="0" fontId="6" fillId="0" borderId="0" xfId="1" applyFont="1" applyBorder="1"/>
    <xf numFmtId="0" fontId="5" fillId="0" borderId="5" xfId="1" applyBorder="1"/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5" fillId="0" borderId="0" xfId="1" applyBorder="1" applyAlignment="1"/>
    <xf numFmtId="0" fontId="5" fillId="0" borderId="6" xfId="1" applyBorder="1"/>
    <xf numFmtId="0" fontId="5" fillId="0" borderId="7" xfId="1" applyBorder="1"/>
    <xf numFmtId="0" fontId="5" fillId="0" borderId="8" xfId="1" applyBorder="1"/>
    <xf numFmtId="0" fontId="5" fillId="0" borderId="0" xfId="1" quotePrefix="1" applyBorder="1"/>
    <xf numFmtId="0" fontId="10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top" wrapText="1"/>
    </xf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0" fontId="11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1" fillId="0" borderId="0" xfId="0" applyFont="1" applyBorder="1" applyAlignment="1">
      <alignment vertical="center"/>
    </xf>
    <xf numFmtId="0" fontId="9" fillId="0" borderId="0" xfId="0" applyFont="1" applyFill="1"/>
    <xf numFmtId="0" fontId="21" fillId="0" borderId="0" xfId="0" applyFont="1"/>
    <xf numFmtId="0" fontId="21" fillId="0" borderId="0" xfId="0" applyFont="1" applyBorder="1"/>
    <xf numFmtId="0" fontId="24" fillId="2" borderId="0" xfId="0" applyFont="1" applyFill="1" applyBorder="1"/>
    <xf numFmtId="0" fontId="21" fillId="0" borderId="0" xfId="0" applyFont="1" applyBorder="1" applyAlignment="1"/>
    <xf numFmtId="0" fontId="25" fillId="0" borderId="0" xfId="0" applyFont="1" applyBorder="1"/>
    <xf numFmtId="0" fontId="22" fillId="0" borderId="0" xfId="0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" fillId="0" borderId="0" xfId="0" applyFont="1" applyFill="1"/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7" fillId="0" borderId="0" xfId="0" applyFont="1" applyFill="1" applyBorder="1" applyAlignment="1"/>
    <xf numFmtId="14" fontId="19" fillId="0" borderId="0" xfId="0" applyNumberFormat="1" applyFont="1" applyFill="1" applyBorder="1" applyAlignment="1"/>
    <xf numFmtId="0" fontId="28" fillId="0" borderId="0" xfId="0" applyFont="1" applyFill="1" applyBorder="1" applyAlignment="1"/>
    <xf numFmtId="14" fontId="18" fillId="0" borderId="0" xfId="0" applyNumberFormat="1" applyFont="1" applyFill="1" applyBorder="1" applyAlignment="1"/>
    <xf numFmtId="0" fontId="0" fillId="0" borderId="0" xfId="0" applyAlignment="1">
      <alignment horizontal="left" vertical="center"/>
    </xf>
    <xf numFmtId="14" fontId="25" fillId="0" borderId="0" xfId="0" applyNumberFormat="1" applyFont="1" applyBorder="1" applyProtection="1"/>
    <xf numFmtId="0" fontId="43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34" fillId="4" borderId="10" xfId="0" applyFont="1" applyFill="1" applyBorder="1" applyAlignment="1" applyProtection="1">
      <alignment vertical="center"/>
      <protection hidden="1"/>
    </xf>
    <xf numFmtId="0" fontId="34" fillId="33" borderId="0" xfId="0" applyFont="1" applyFill="1" applyAlignment="1" applyProtection="1">
      <alignment vertical="center"/>
      <protection hidden="1"/>
    </xf>
    <xf numFmtId="0" fontId="34" fillId="31" borderId="0" xfId="0" applyFont="1" applyFill="1" applyAlignment="1" applyProtection="1">
      <alignment vertical="center"/>
      <protection hidden="1"/>
    </xf>
    <xf numFmtId="164" fontId="32" fillId="31" borderId="10" xfId="0" applyNumberFormat="1" applyFont="1" applyFill="1" applyBorder="1" applyAlignment="1" applyProtection="1">
      <alignment horizontal="center" vertical="center"/>
      <protection hidden="1"/>
    </xf>
    <xf numFmtId="164" fontId="33" fillId="17" borderId="10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11" xfId="0" applyFont="1" applyBorder="1" applyProtection="1">
      <protection locked="0" hidden="1"/>
    </xf>
    <xf numFmtId="0" fontId="35" fillId="26" borderId="0" xfId="0" applyFont="1" applyFill="1" applyBorder="1" applyProtection="1">
      <protection hidden="1"/>
    </xf>
    <xf numFmtId="0" fontId="33" fillId="0" borderId="15" xfId="0" applyFont="1" applyBorder="1" applyProtection="1">
      <protection locked="0" hidden="1"/>
    </xf>
    <xf numFmtId="0" fontId="33" fillId="0" borderId="10" xfId="0" applyFont="1" applyBorder="1" applyProtection="1">
      <protection locked="0" hidden="1"/>
    </xf>
    <xf numFmtId="0" fontId="37" fillId="0" borderId="10" xfId="0" applyFont="1" applyFill="1" applyBorder="1" applyAlignment="1" applyProtection="1">
      <alignment horizontal="right" vertical="center" wrapText="1"/>
      <protection locked="0" hidden="1"/>
    </xf>
    <xf numFmtId="168" fontId="40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4" fontId="40" fillId="0" borderId="10" xfId="0" applyNumberFormat="1" applyFont="1" applyFill="1" applyBorder="1" applyAlignment="1" applyProtection="1">
      <alignment vertical="center" wrapText="1"/>
      <protection locked="0" hidden="1"/>
    </xf>
    <xf numFmtId="9" fontId="34" fillId="2" borderId="10" xfId="0" applyNumberFormat="1" applyFont="1" applyFill="1" applyBorder="1" applyProtection="1">
      <protection locked="0" hidden="1"/>
    </xf>
    <xf numFmtId="165" fontId="34" fillId="2" borderId="10" xfId="0" applyNumberFormat="1" applyFont="1" applyFill="1" applyBorder="1" applyProtection="1">
      <protection locked="0" hidden="1"/>
    </xf>
    <xf numFmtId="0" fontId="42" fillId="22" borderId="15" xfId="0" applyFont="1" applyFill="1" applyBorder="1" applyAlignment="1" applyProtection="1">
      <alignment vertical="center"/>
      <protection hidden="1"/>
    </xf>
    <xf numFmtId="0" fontId="35" fillId="22" borderId="12" xfId="0" applyFont="1" applyFill="1" applyBorder="1" applyAlignment="1" applyProtection="1">
      <alignment vertical="center"/>
      <protection locked="0" hidden="1"/>
    </xf>
    <xf numFmtId="0" fontId="42" fillId="22" borderId="10" xfId="0" applyFont="1" applyFill="1" applyBorder="1" applyAlignment="1" applyProtection="1">
      <alignment vertical="center"/>
      <protection hidden="1"/>
    </xf>
    <xf numFmtId="0" fontId="35" fillId="22" borderId="10" xfId="0" applyFont="1" applyFill="1" applyBorder="1" applyAlignment="1" applyProtection="1">
      <alignment vertical="center"/>
      <protection locked="0" hidden="1"/>
    </xf>
    <xf numFmtId="0" fontId="33" fillId="0" borderId="15" xfId="0" applyFont="1" applyBorder="1" applyAlignment="1" applyProtection="1">
      <alignment vertical="center"/>
      <protection locked="0" hidden="1"/>
    </xf>
    <xf numFmtId="0" fontId="33" fillId="6" borderId="10" xfId="0" applyFont="1" applyFill="1" applyBorder="1" applyAlignment="1" applyProtection="1">
      <alignment horizontal="center" vertical="center"/>
      <protection hidden="1"/>
    </xf>
    <xf numFmtId="0" fontId="33" fillId="22" borderId="10" xfId="0" applyFont="1" applyFill="1" applyBorder="1" applyAlignment="1" applyProtection="1">
      <alignment horizontal="right" vertical="center"/>
      <protection locked="0" hidden="1"/>
    </xf>
    <xf numFmtId="164" fontId="32" fillId="31" borderId="12" xfId="0" applyNumberFormat="1" applyFont="1" applyFill="1" applyBorder="1" applyAlignment="1" applyProtection="1">
      <alignment horizontal="center" vertical="center"/>
      <protection hidden="1"/>
    </xf>
    <xf numFmtId="164" fontId="32" fillId="31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9" xfId="0" applyFont="1" applyBorder="1" applyProtection="1">
      <protection locked="0" hidden="1"/>
    </xf>
    <xf numFmtId="0" fontId="33" fillId="0" borderId="13" xfId="0" applyFont="1" applyBorder="1" applyProtection="1">
      <protection locked="0" hidden="1"/>
    </xf>
    <xf numFmtId="0" fontId="33" fillId="6" borderId="11" xfId="0" applyFont="1" applyFill="1" applyBorder="1" applyAlignment="1" applyProtection="1">
      <alignment horizontal="left" vertical="center"/>
      <protection hidden="1"/>
    </xf>
    <xf numFmtId="0" fontId="33" fillId="6" borderId="12" xfId="0" applyFont="1" applyFill="1" applyBorder="1" applyAlignment="1" applyProtection="1">
      <alignment horizontal="left" vertical="center"/>
      <protection hidden="1"/>
    </xf>
    <xf numFmtId="0" fontId="36" fillId="18" borderId="0" xfId="0" applyFont="1" applyFill="1" applyBorder="1" applyAlignment="1" applyProtection="1">
      <alignment horizontal="left" vertical="center"/>
      <protection hidden="1"/>
    </xf>
    <xf numFmtId="0" fontId="34" fillId="17" borderId="10" xfId="0" applyFont="1" applyFill="1" applyBorder="1" applyProtection="1">
      <protection hidden="1"/>
    </xf>
    <xf numFmtId="0" fontId="34" fillId="34" borderId="11" xfId="0" applyFont="1" applyFill="1" applyBorder="1" applyAlignment="1" applyProtection="1">
      <alignment vertical="center"/>
      <protection hidden="1"/>
    </xf>
    <xf numFmtId="0" fontId="34" fillId="34" borderId="15" xfId="0" applyFont="1" applyFill="1" applyBorder="1" applyAlignment="1" applyProtection="1">
      <alignment vertical="center"/>
      <protection hidden="1"/>
    </xf>
    <xf numFmtId="0" fontId="34" fillId="17" borderId="0" xfId="0" applyFont="1" applyFill="1" applyBorder="1" applyProtection="1">
      <protection hidden="1"/>
    </xf>
    <xf numFmtId="0" fontId="35" fillId="0" borderId="14" xfId="0" applyFont="1" applyFill="1" applyBorder="1" applyAlignment="1" applyProtection="1">
      <protection locked="0" hidden="1"/>
    </xf>
    <xf numFmtId="0" fontId="35" fillId="0" borderId="10" xfId="0" applyFont="1" applyFill="1" applyBorder="1" applyAlignment="1" applyProtection="1">
      <protection locked="0" hidden="1"/>
    </xf>
    <xf numFmtId="0" fontId="33" fillId="22" borderId="11" xfId="0" applyFont="1" applyFill="1" applyBorder="1" applyProtection="1">
      <protection locked="0" hidden="1"/>
    </xf>
    <xf numFmtId="0" fontId="33" fillId="22" borderId="10" xfId="0" applyFont="1" applyFill="1" applyBorder="1" applyProtection="1">
      <protection locked="0" hidden="1"/>
    </xf>
    <xf numFmtId="0" fontId="35" fillId="0" borderId="10" xfId="0" applyFont="1" applyBorder="1" applyProtection="1">
      <protection locked="0" hidden="1"/>
    </xf>
    <xf numFmtId="0" fontId="35" fillId="0" borderId="12" xfId="0" applyFont="1" applyBorder="1" applyProtection="1">
      <protection locked="0" hidden="1"/>
    </xf>
    <xf numFmtId="0" fontId="35" fillId="0" borderId="11" xfId="0" applyFont="1" applyBorder="1" applyAlignment="1" applyProtection="1">
      <alignment horizontal="right" vertical="center"/>
      <protection locked="0" hidden="1"/>
    </xf>
    <xf numFmtId="0" fontId="35" fillId="0" borderId="10" xfId="0" applyFont="1" applyFill="1" applyBorder="1" applyAlignment="1" applyProtection="1">
      <alignment horizontal="right" vertical="center" wrapText="1"/>
      <protection locked="0" hidden="1"/>
    </xf>
    <xf numFmtId="0" fontId="35" fillId="0" borderId="12" xfId="0" applyFont="1" applyFill="1" applyBorder="1" applyAlignment="1" applyProtection="1">
      <alignment horizontal="right" vertical="center" wrapText="1"/>
      <protection locked="0" hidden="1"/>
    </xf>
    <xf numFmtId="0" fontId="35" fillId="0" borderId="10" xfId="0" applyFont="1" applyBorder="1" applyAlignment="1" applyProtection="1">
      <alignment horizontal="right" vertical="center"/>
      <protection locked="0" hidden="1"/>
    </xf>
    <xf numFmtId="0" fontId="35" fillId="26" borderId="10" xfId="0" applyFont="1" applyFill="1" applyBorder="1" applyProtection="1">
      <protection hidden="1"/>
    </xf>
    <xf numFmtId="0" fontId="33" fillId="6" borderId="13" xfId="0" applyFont="1" applyFill="1" applyBorder="1" applyAlignment="1" applyProtection="1">
      <alignment horizontal="center" vertical="center"/>
      <protection hidden="1"/>
    </xf>
    <xf numFmtId="0" fontId="33" fillId="22" borderId="0" xfId="0" applyFont="1" applyFill="1" applyBorder="1" applyProtection="1">
      <protection locked="0" hidden="1"/>
    </xf>
    <xf numFmtId="0" fontId="37" fillId="20" borderId="18" xfId="0" applyFont="1" applyFill="1" applyBorder="1" applyAlignment="1" applyProtection="1">
      <alignment vertical="center"/>
      <protection hidden="1"/>
    </xf>
    <xf numFmtId="0" fontId="37" fillId="19" borderId="25" xfId="0" applyFont="1" applyFill="1" applyBorder="1" applyAlignment="1" applyProtection="1">
      <alignment horizontal="center" vertical="center"/>
      <protection hidden="1"/>
    </xf>
    <xf numFmtId="0" fontId="39" fillId="19" borderId="18" xfId="0" applyFont="1" applyFill="1" applyBorder="1" applyAlignment="1" applyProtection="1">
      <alignment horizontal="right" vertical="center"/>
      <protection hidden="1"/>
    </xf>
    <xf numFmtId="0" fontId="37" fillId="19" borderId="27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right" vertical="center"/>
      <protection hidden="1"/>
    </xf>
    <xf numFmtId="0" fontId="39" fillId="19" borderId="13" xfId="0" applyFont="1" applyFill="1" applyBorder="1" applyAlignment="1" applyProtection="1">
      <alignment horizontal="right" vertical="center"/>
      <protection hidden="1"/>
    </xf>
    <xf numFmtId="0" fontId="37" fillId="19" borderId="2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6" fillId="0" borderId="9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Fill="1" applyBorder="1" applyAlignment="1" applyProtection="1">
      <alignment horizontal="center" vertical="center" textRotation="90" wrapText="1"/>
      <protection hidden="1"/>
    </xf>
    <xf numFmtId="0" fontId="29" fillId="0" borderId="0" xfId="0" applyFont="1" applyFill="1" applyBorder="1" applyAlignment="1" applyProtection="1">
      <alignment horizontal="center" vertical="center" textRotation="90" wrapText="1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17" fontId="16" fillId="0" borderId="0" xfId="0" applyNumberFormat="1" applyFont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166" fontId="49" fillId="0" borderId="0" xfId="0" applyNumberFormat="1" applyFont="1" applyFill="1" applyBorder="1" applyAlignment="1" applyProtection="1">
      <alignment vertical="center"/>
      <protection hidden="1"/>
    </xf>
    <xf numFmtId="1" fontId="49" fillId="0" borderId="0" xfId="0" applyNumberFormat="1" applyFont="1" applyBorder="1" applyAlignment="1" applyProtection="1">
      <alignment vertical="center"/>
      <protection hidden="1"/>
    </xf>
    <xf numFmtId="1" fontId="34" fillId="0" borderId="0" xfId="0" applyNumberFormat="1" applyFont="1" applyBorder="1" applyAlignment="1" applyProtection="1">
      <alignment vertical="center" wrapText="1"/>
      <protection hidden="1"/>
    </xf>
    <xf numFmtId="1" fontId="50" fillId="0" borderId="0" xfId="0" applyNumberFormat="1" applyFont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horizontal="right" vertical="center"/>
      <protection hidden="1"/>
    </xf>
    <xf numFmtId="168" fontId="51" fillId="0" borderId="0" xfId="0" applyNumberFormat="1" applyFont="1" applyBorder="1" applyAlignment="1" applyProtection="1">
      <alignment horizontal="right" vertical="center"/>
      <protection hidden="1"/>
    </xf>
    <xf numFmtId="168" fontId="51" fillId="0" borderId="16" xfId="0" applyNumberFormat="1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168" fontId="52" fillId="0" borderId="16" xfId="0" applyNumberFormat="1" applyFont="1" applyBorder="1" applyAlignment="1" applyProtection="1">
      <alignment horizontal="right" vertical="center"/>
      <protection hidden="1"/>
    </xf>
    <xf numFmtId="167" fontId="49" fillId="0" borderId="0" xfId="0" applyNumberFormat="1" applyFont="1" applyFill="1" applyBorder="1" applyAlignment="1" applyProtection="1">
      <alignment vertical="center"/>
      <protection hidden="1"/>
    </xf>
    <xf numFmtId="168" fontId="52" fillId="0" borderId="0" xfId="0" applyNumberFormat="1" applyFont="1" applyBorder="1" applyAlignment="1" applyProtection="1">
      <alignment horizontal="right" vertical="center"/>
      <protection hidden="1"/>
    </xf>
    <xf numFmtId="1" fontId="34" fillId="0" borderId="0" xfId="0" applyNumberFormat="1" applyFont="1" applyBorder="1" applyAlignment="1" applyProtection="1">
      <alignment vertical="center"/>
      <protection hidden="1"/>
    </xf>
    <xf numFmtId="17" fontId="29" fillId="0" borderId="0" xfId="0" applyNumberFormat="1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17" fontId="16" fillId="0" borderId="0" xfId="0" applyNumberFormat="1" applyFont="1" applyBorder="1" applyAlignment="1" applyProtection="1">
      <alignment horizontal="left" vertical="center" wrapText="1"/>
      <protection hidden="1"/>
    </xf>
    <xf numFmtId="17" fontId="63" fillId="0" borderId="0" xfId="0" applyNumberFormat="1" applyFont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 horizontal="right" vertical="center"/>
      <protection hidden="1"/>
    </xf>
    <xf numFmtId="0" fontId="50" fillId="0" borderId="16" xfId="0" applyFont="1" applyBorder="1" applyAlignment="1" applyProtection="1">
      <alignment horizontal="right" vertical="center"/>
      <protection hidden="1"/>
    </xf>
    <xf numFmtId="0" fontId="55" fillId="0" borderId="0" xfId="0" applyFont="1" applyBorder="1" applyProtection="1">
      <protection hidden="1"/>
    </xf>
    <xf numFmtId="0" fontId="48" fillId="0" borderId="0" xfId="0" applyFont="1" applyFill="1" applyBorder="1" applyProtection="1"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Border="1" applyAlignment="1" applyProtection="1">
      <alignment horizontal="right" vertical="center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Protection="1">
      <protection hidden="1"/>
    </xf>
    <xf numFmtId="0" fontId="50" fillId="0" borderId="0" xfId="0" applyFont="1" applyBorder="1" applyProtection="1">
      <protection hidden="1"/>
    </xf>
    <xf numFmtId="0" fontId="47" fillId="0" borderId="0" xfId="0" applyFont="1" applyFill="1" applyBorder="1" applyAlignment="1" applyProtection="1"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1" fontId="50" fillId="0" borderId="0" xfId="0" applyNumberFormat="1" applyFont="1" applyFill="1" applyBorder="1" applyProtection="1">
      <protection hidden="1"/>
    </xf>
    <xf numFmtId="0" fontId="5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Protection="1">
      <protection hidden="1"/>
    </xf>
    <xf numFmtId="0" fontId="52" fillId="0" borderId="0" xfId="0" applyFont="1" applyBorder="1" applyAlignment="1" applyProtection="1">
      <alignment horizontal="right"/>
      <protection hidden="1"/>
    </xf>
    <xf numFmtId="1" fontId="36" fillId="0" borderId="0" xfId="0" applyNumberFormat="1" applyFont="1" applyBorder="1" applyProtection="1">
      <protection hidden="1"/>
    </xf>
    <xf numFmtId="0" fontId="52" fillId="0" borderId="0" xfId="0" applyFont="1" applyBorder="1" applyAlignment="1" applyProtection="1">
      <protection hidden="1"/>
    </xf>
    <xf numFmtId="0" fontId="52" fillId="0" borderId="0" xfId="0" applyFont="1" applyBorder="1" applyAlignment="1" applyProtection="1">
      <protection locked="0" hidden="1"/>
    </xf>
    <xf numFmtId="0" fontId="36" fillId="0" borderId="0" xfId="0" applyFont="1" applyBorder="1" applyProtection="1">
      <protection locked="0" hidden="1"/>
    </xf>
    <xf numFmtId="0" fontId="36" fillId="0" borderId="0" xfId="0" applyFont="1" applyAlignment="1" applyProtection="1">
      <protection hidden="1"/>
    </xf>
    <xf numFmtId="0" fontId="36" fillId="0" borderId="0" xfId="0" applyFont="1" applyProtection="1"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1" fillId="0" borderId="0" xfId="0" applyFont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55" fillId="0" borderId="0" xfId="0" applyFont="1" applyProtection="1">
      <protection hidden="1"/>
    </xf>
    <xf numFmtId="0" fontId="49" fillId="0" borderId="0" xfId="0" applyFont="1" applyBorder="1" applyProtection="1"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Border="1" applyProtection="1"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horizontal="left" vertical="center"/>
      <protection hidden="1"/>
    </xf>
    <xf numFmtId="0" fontId="55" fillId="0" borderId="0" xfId="0" applyFont="1" applyBorder="1" applyAlignment="1" applyProtection="1">
      <protection hidden="1"/>
    </xf>
    <xf numFmtId="0" fontId="48" fillId="0" borderId="0" xfId="0" applyFont="1" applyBorder="1" applyAlignment="1" applyProtection="1">
      <protection hidden="1"/>
    </xf>
    <xf numFmtId="1" fontId="50" fillId="0" borderId="0" xfId="0" applyNumberFormat="1" applyFont="1" applyFill="1" applyBorder="1" applyAlignment="1" applyProtection="1">
      <alignment horizontal="right" vertical="center"/>
      <protection hidden="1"/>
    </xf>
    <xf numFmtId="1" fontId="50" fillId="0" borderId="0" xfId="0" applyNumberFormat="1" applyFont="1" applyBorder="1" applyAlignment="1" applyProtection="1">
      <alignment horizontal="center"/>
      <protection hidden="1"/>
    </xf>
    <xf numFmtId="0" fontId="50" fillId="0" borderId="0" xfId="0" applyFont="1" applyFill="1" applyAlignment="1" applyProtection="1">
      <alignment horizontal="right" vertical="center"/>
      <protection hidden="1"/>
    </xf>
    <xf numFmtId="0" fontId="34" fillId="36" borderId="12" xfId="0" applyFont="1" applyFill="1" applyBorder="1" applyAlignment="1" applyProtection="1">
      <alignment vertical="center"/>
      <protection hidden="1"/>
    </xf>
    <xf numFmtId="0" fontId="34" fillId="36" borderId="20" xfId="0" applyFont="1" applyFill="1" applyBorder="1" applyAlignment="1" applyProtection="1">
      <alignment vertical="center"/>
      <protection hidden="1"/>
    </xf>
    <xf numFmtId="14" fontId="4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22" borderId="10" xfId="0" applyFont="1" applyFill="1" applyBorder="1" applyAlignment="1" applyProtection="1">
      <alignment vertical="center"/>
      <protection locked="0"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41" fillId="6" borderId="23" xfId="0" applyFont="1" applyFill="1" applyBorder="1" applyAlignment="1" applyProtection="1">
      <protection hidden="1"/>
    </xf>
    <xf numFmtId="0" fontId="41" fillId="6" borderId="20" xfId="0" applyFont="1" applyFill="1" applyBorder="1" applyAlignment="1" applyProtection="1">
      <protection locked="0" hidden="1"/>
    </xf>
    <xf numFmtId="0" fontId="37" fillId="0" borderId="13" xfId="0" applyFont="1" applyFill="1" applyBorder="1" applyAlignment="1" applyProtection="1">
      <alignment horizontal="right" vertical="center" wrapText="1"/>
      <protection locked="0" hidden="1"/>
    </xf>
    <xf numFmtId="168" fontId="40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14" fontId="40" fillId="0" borderId="13" xfId="0" applyNumberFormat="1" applyFont="1" applyFill="1" applyBorder="1" applyAlignment="1" applyProtection="1">
      <alignment vertical="center" wrapText="1"/>
      <protection locked="0" hidden="1"/>
    </xf>
    <xf numFmtId="0" fontId="58" fillId="29" borderId="10" xfId="0" applyFont="1" applyFill="1" applyBorder="1" applyAlignment="1" applyProtection="1">
      <alignment horizontal="center" vertical="center" wrapText="1"/>
      <protection hidden="1"/>
    </xf>
    <xf numFmtId="0" fontId="49" fillId="2" borderId="32" xfId="0" applyFont="1" applyFill="1" applyBorder="1" applyAlignment="1" applyProtection="1">
      <alignment vertical="center" wrapText="1"/>
      <protection hidden="1"/>
    </xf>
    <xf numFmtId="0" fontId="71" fillId="19" borderId="17" xfId="0" applyFont="1" applyFill="1" applyBorder="1" applyAlignment="1" applyProtection="1">
      <alignment vertical="center"/>
      <protection hidden="1"/>
    </xf>
    <xf numFmtId="0" fontId="71" fillId="19" borderId="14" xfId="0" applyFont="1" applyFill="1" applyBorder="1" applyAlignment="1" applyProtection="1">
      <protection hidden="1"/>
    </xf>
    <xf numFmtId="0" fontId="71" fillId="19" borderId="14" xfId="0" applyFont="1" applyFill="1" applyBorder="1" applyAlignment="1" applyProtection="1">
      <alignment vertical="center"/>
      <protection hidden="1"/>
    </xf>
    <xf numFmtId="0" fontId="71" fillId="19" borderId="14" xfId="0" applyFont="1" applyFill="1" applyBorder="1" applyProtection="1">
      <protection hidden="1"/>
    </xf>
    <xf numFmtId="0" fontId="71" fillId="19" borderId="11" xfId="0" applyFont="1" applyFill="1" applyBorder="1" applyAlignment="1" applyProtection="1">
      <alignment vertical="center"/>
      <protection hidden="1"/>
    </xf>
    <xf numFmtId="0" fontId="71" fillId="19" borderId="15" xfId="0" applyFont="1" applyFill="1" applyBorder="1" applyAlignment="1" applyProtection="1">
      <protection hidden="1"/>
    </xf>
    <xf numFmtId="0" fontId="71" fillId="19" borderId="15" xfId="0" applyFont="1" applyFill="1" applyBorder="1" applyAlignment="1" applyProtection="1">
      <alignment vertical="center"/>
      <protection hidden="1"/>
    </xf>
    <xf numFmtId="0" fontId="71" fillId="19" borderId="10" xfId="0" applyFont="1" applyFill="1" applyBorder="1" applyAlignment="1" applyProtection="1">
      <alignment vertical="center"/>
      <protection hidden="1"/>
    </xf>
    <xf numFmtId="0" fontId="71" fillId="19" borderId="15" xfId="0" applyFont="1" applyFill="1" applyBorder="1" applyProtection="1">
      <protection hidden="1"/>
    </xf>
    <xf numFmtId="0" fontId="71" fillId="19" borderId="23" xfId="0" applyFont="1" applyFill="1" applyBorder="1" applyAlignment="1" applyProtection="1">
      <alignment vertical="center"/>
      <protection hidden="1"/>
    </xf>
    <xf numFmtId="0" fontId="71" fillId="19" borderId="19" xfId="0" applyFont="1" applyFill="1" applyBorder="1" applyAlignment="1" applyProtection="1">
      <protection hidden="1"/>
    </xf>
    <xf numFmtId="0" fontId="71" fillId="19" borderId="19" xfId="0" applyFont="1" applyFill="1" applyBorder="1" applyAlignment="1" applyProtection="1">
      <alignment vertical="center"/>
      <protection hidden="1"/>
    </xf>
    <xf numFmtId="0" fontId="71" fillId="19" borderId="19" xfId="0" applyFont="1" applyFill="1" applyBorder="1" applyProtection="1">
      <protection hidden="1"/>
    </xf>
    <xf numFmtId="0" fontId="35" fillId="21" borderId="10" xfId="0" applyFont="1" applyFill="1" applyBorder="1" applyAlignment="1" applyProtection="1">
      <alignment vertical="center"/>
      <protection locked="0" hidden="1"/>
    </xf>
    <xf numFmtId="0" fontId="35" fillId="17" borderId="26" xfId="0" applyFont="1" applyFill="1" applyBorder="1" applyAlignment="1" applyProtection="1">
      <alignment vertical="center"/>
      <protection locked="0" hidden="1"/>
    </xf>
    <xf numFmtId="1" fontId="35" fillId="21" borderId="10" xfId="0" applyNumberFormat="1" applyFont="1" applyFill="1" applyBorder="1" applyAlignment="1" applyProtection="1">
      <alignment vertical="center"/>
      <protection locked="0" hidden="1"/>
    </xf>
    <xf numFmtId="0" fontId="35" fillId="21" borderId="13" xfId="0" applyFont="1" applyFill="1" applyBorder="1" applyAlignment="1" applyProtection="1">
      <alignment vertical="center"/>
      <protection locked="0" hidden="1"/>
    </xf>
    <xf numFmtId="0" fontId="35" fillId="17" borderId="29" xfId="0" applyFont="1" applyFill="1" applyBorder="1" applyAlignment="1" applyProtection="1">
      <alignment vertical="center"/>
      <protection locked="0" hidden="1"/>
    </xf>
    <xf numFmtId="0" fontId="70" fillId="29" borderId="10" xfId="0" applyFont="1" applyFill="1" applyBorder="1" applyAlignment="1" applyProtection="1">
      <alignment horizontal="left" wrapText="1"/>
      <protection hidden="1"/>
    </xf>
    <xf numFmtId="0" fontId="65" fillId="37" borderId="21" xfId="0" applyFont="1" applyFill="1" applyBorder="1" applyAlignment="1" applyProtection="1">
      <alignment horizontal="center" vertical="center" wrapText="1"/>
      <protection hidden="1"/>
    </xf>
    <xf numFmtId="0" fontId="65" fillId="37" borderId="2" xfId="0" applyFont="1" applyFill="1" applyBorder="1" applyAlignment="1" applyProtection="1">
      <alignment horizontal="center" vertical="center" wrapText="1"/>
      <protection hidden="1"/>
    </xf>
    <xf numFmtId="0" fontId="65" fillId="37" borderId="34" xfId="0" applyFont="1" applyFill="1" applyBorder="1" applyAlignment="1" applyProtection="1">
      <alignment horizontal="center" vertical="center" wrapText="1"/>
      <protection hidden="1"/>
    </xf>
    <xf numFmtId="0" fontId="65" fillId="37" borderId="4" xfId="0" applyFont="1" applyFill="1" applyBorder="1" applyAlignment="1" applyProtection="1">
      <alignment horizontal="center" vertical="center" wrapText="1"/>
      <protection hidden="1"/>
    </xf>
    <xf numFmtId="0" fontId="65" fillId="37" borderId="0" xfId="0" applyFont="1" applyFill="1" applyBorder="1" applyAlignment="1" applyProtection="1">
      <alignment horizontal="center" vertical="center" wrapText="1"/>
      <protection hidden="1"/>
    </xf>
    <xf numFmtId="0" fontId="65" fillId="37" borderId="16" xfId="0" applyFont="1" applyFill="1" applyBorder="1" applyAlignment="1" applyProtection="1">
      <alignment horizontal="center" vertical="center" wrapText="1"/>
      <protection hidden="1"/>
    </xf>
    <xf numFmtId="0" fontId="65" fillId="37" borderId="6" xfId="0" applyFont="1" applyFill="1" applyBorder="1" applyAlignment="1" applyProtection="1">
      <alignment horizontal="center" vertical="center" wrapText="1"/>
      <protection hidden="1"/>
    </xf>
    <xf numFmtId="0" fontId="65" fillId="37" borderId="7" xfId="0" applyFont="1" applyFill="1" applyBorder="1" applyAlignment="1" applyProtection="1">
      <alignment horizontal="center" vertical="center" wrapText="1"/>
      <protection hidden="1"/>
    </xf>
    <xf numFmtId="0" fontId="65" fillId="37" borderId="35" xfId="0" applyFont="1" applyFill="1" applyBorder="1" applyAlignment="1" applyProtection="1">
      <alignment horizontal="center" vertical="center" wrapText="1"/>
      <protection hidden="1"/>
    </xf>
    <xf numFmtId="0" fontId="70" fillId="29" borderId="10" xfId="0" applyFont="1" applyFill="1" applyBorder="1" applyAlignment="1" applyProtection="1">
      <alignment wrapText="1"/>
      <protection hidden="1"/>
    </xf>
    <xf numFmtId="0" fontId="67" fillId="38" borderId="10" xfId="0" applyFont="1" applyFill="1" applyBorder="1" applyAlignment="1" applyProtection="1">
      <alignment horizontal="center" vertical="center" wrapText="1"/>
      <protection hidden="1"/>
    </xf>
    <xf numFmtId="0" fontId="61" fillId="29" borderId="0" xfId="0" applyFont="1" applyFill="1" applyAlignment="1" applyProtection="1">
      <alignment horizontal="center" vertical="center"/>
      <protection hidden="1"/>
    </xf>
    <xf numFmtId="0" fontId="38" fillId="7" borderId="10" xfId="0" applyFont="1" applyFill="1" applyBorder="1" applyAlignment="1" applyProtection="1">
      <alignment horizontal="center" vertical="center"/>
      <protection hidden="1"/>
    </xf>
    <xf numFmtId="0" fontId="38" fillId="25" borderId="10" xfId="0" applyFont="1" applyFill="1" applyBorder="1" applyAlignment="1" applyProtection="1">
      <alignment horizontal="center" vertical="center"/>
      <protection hidden="1"/>
    </xf>
    <xf numFmtId="0" fontId="33" fillId="6" borderId="11" xfId="0" applyFont="1" applyFill="1" applyBorder="1" applyAlignment="1" applyProtection="1">
      <alignment horizontal="left" vertical="center"/>
      <protection hidden="1"/>
    </xf>
    <xf numFmtId="0" fontId="33" fillId="6" borderId="12" xfId="0" applyFont="1" applyFill="1" applyBorder="1" applyAlignment="1" applyProtection="1">
      <alignment horizontal="left" vertical="center"/>
      <protection hidden="1"/>
    </xf>
    <xf numFmtId="0" fontId="38" fillId="15" borderId="10" xfId="0" applyFont="1" applyFill="1" applyBorder="1" applyAlignment="1" applyProtection="1">
      <alignment horizontal="center" vertical="center" wrapText="1"/>
      <protection hidden="1"/>
    </xf>
    <xf numFmtId="0" fontId="38" fillId="26" borderId="10" xfId="0" applyFont="1" applyFill="1" applyBorder="1" applyAlignment="1" applyProtection="1">
      <alignment horizontal="center" vertical="center" wrapText="1"/>
      <protection hidden="1"/>
    </xf>
    <xf numFmtId="0" fontId="45" fillId="9" borderId="10" xfId="0" applyFont="1" applyFill="1" applyBorder="1" applyAlignment="1" applyProtection="1">
      <alignment horizontal="center" vertical="center" wrapText="1"/>
      <protection hidden="1"/>
    </xf>
    <xf numFmtId="0" fontId="35" fillId="22" borderId="12" xfId="0" applyFont="1" applyFill="1" applyBorder="1" applyAlignment="1" applyProtection="1">
      <alignment vertical="center"/>
      <protection locked="0" hidden="1"/>
    </xf>
    <xf numFmtId="0" fontId="35" fillId="22" borderId="10" xfId="0" applyFont="1" applyFill="1" applyBorder="1" applyAlignment="1" applyProtection="1">
      <alignment vertical="center"/>
      <protection locked="0" hidden="1"/>
    </xf>
    <xf numFmtId="0" fontId="38" fillId="5" borderId="10" xfId="0" applyFont="1" applyFill="1" applyBorder="1" applyAlignment="1" applyProtection="1">
      <alignment horizontal="center" vertical="center"/>
      <protection hidden="1"/>
    </xf>
    <xf numFmtId="0" fontId="38" fillId="2" borderId="10" xfId="0" applyFont="1" applyFill="1" applyBorder="1" applyAlignment="1" applyProtection="1">
      <alignment horizontal="center" vertical="center" wrapText="1"/>
      <protection hidden="1"/>
    </xf>
    <xf numFmtId="0" fontId="45" fillId="16" borderId="10" xfId="0" applyFont="1" applyFill="1" applyBorder="1" applyAlignment="1" applyProtection="1">
      <alignment horizontal="center" vertical="center" wrapText="1"/>
      <protection hidden="1"/>
    </xf>
    <xf numFmtId="0" fontId="34" fillId="2" borderId="10" xfId="0" applyFont="1" applyFill="1" applyBorder="1" applyAlignment="1" applyProtection="1">
      <alignment horizontal="center" vertical="center" wrapText="1"/>
      <protection hidden="1"/>
    </xf>
    <xf numFmtId="0" fontId="38" fillId="12" borderId="10" xfId="0" applyFont="1" applyFill="1" applyBorder="1" applyAlignment="1" applyProtection="1">
      <alignment horizontal="center" vertical="center" wrapText="1"/>
      <protection hidden="1"/>
    </xf>
    <xf numFmtId="0" fontId="38" fillId="14" borderId="10" xfId="0" applyFont="1" applyFill="1" applyBorder="1" applyAlignment="1" applyProtection="1">
      <alignment horizontal="center" vertical="center" wrapText="1"/>
      <protection hidden="1"/>
    </xf>
    <xf numFmtId="0" fontId="38" fillId="10" borderId="10" xfId="0" applyFont="1" applyFill="1" applyBorder="1" applyAlignment="1" applyProtection="1">
      <alignment horizontal="center" vertical="center" wrapText="1"/>
      <protection hidden="1"/>
    </xf>
    <xf numFmtId="0" fontId="38" fillId="5" borderId="10" xfId="0" applyFont="1" applyFill="1" applyBorder="1" applyAlignment="1" applyProtection="1">
      <alignment horizontal="center" vertical="center" wrapText="1"/>
      <protection hidden="1"/>
    </xf>
    <xf numFmtId="0" fontId="46" fillId="22" borderId="12" xfId="0" applyFont="1" applyFill="1" applyBorder="1" applyAlignment="1" applyProtection="1">
      <alignment vertical="center"/>
      <protection locked="0" hidden="1"/>
    </xf>
    <xf numFmtId="0" fontId="46" fillId="22" borderId="10" xfId="0" applyFont="1" applyFill="1" applyBorder="1" applyAlignment="1" applyProtection="1">
      <alignment vertical="center"/>
      <protection locked="0" hidden="1"/>
    </xf>
    <xf numFmtId="0" fontId="34" fillId="8" borderId="0" xfId="0" applyFont="1" applyFill="1" applyAlignment="1" applyProtection="1">
      <alignment horizontal="center" vertical="center"/>
      <protection hidden="1"/>
    </xf>
    <xf numFmtId="0" fontId="38" fillId="28" borderId="10" xfId="0" applyFont="1" applyFill="1" applyBorder="1" applyAlignment="1" applyProtection="1">
      <alignment horizontal="center" vertical="center" wrapText="1"/>
      <protection hidden="1"/>
    </xf>
    <xf numFmtId="0" fontId="38" fillId="28" borderId="10" xfId="0" applyFont="1" applyFill="1" applyBorder="1" applyAlignment="1" applyProtection="1">
      <alignment horizontal="center" vertical="center"/>
      <protection hidden="1"/>
    </xf>
    <xf numFmtId="0" fontId="45" fillId="4" borderId="10" xfId="0" applyFont="1" applyFill="1" applyBorder="1" applyAlignment="1" applyProtection="1">
      <alignment horizontal="center" vertical="center" wrapText="1"/>
      <protection hidden="1"/>
    </xf>
    <xf numFmtId="0" fontId="34" fillId="4" borderId="10" xfId="0" applyFont="1" applyFill="1" applyBorder="1" applyAlignment="1" applyProtection="1">
      <alignment horizontal="left" vertical="center"/>
      <protection hidden="1"/>
    </xf>
    <xf numFmtId="0" fontId="38" fillId="11" borderId="10" xfId="0" applyFont="1" applyFill="1" applyBorder="1" applyAlignment="1" applyProtection="1">
      <alignment horizontal="center" vertical="center" wrapText="1"/>
      <protection hidden="1"/>
    </xf>
    <xf numFmtId="14" fontId="40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38" fillId="6" borderId="10" xfId="0" applyFont="1" applyFill="1" applyBorder="1" applyAlignment="1" applyProtection="1">
      <alignment horizontal="center" vertical="center" wrapText="1"/>
      <protection hidden="1"/>
    </xf>
    <xf numFmtId="0" fontId="38" fillId="23" borderId="10" xfId="0" applyFont="1" applyFill="1" applyBorder="1" applyAlignment="1" applyProtection="1">
      <alignment horizontal="center" vertical="center"/>
      <protection hidden="1"/>
    </xf>
    <xf numFmtId="0" fontId="38" fillId="23" borderId="13" xfId="0" applyFont="1" applyFill="1" applyBorder="1" applyAlignment="1" applyProtection="1">
      <alignment horizontal="center" vertical="center"/>
      <protection hidden="1"/>
    </xf>
    <xf numFmtId="0" fontId="38" fillId="27" borderId="10" xfId="0" applyFont="1" applyFill="1" applyBorder="1" applyAlignment="1" applyProtection="1">
      <alignment horizontal="center" vertical="center"/>
      <protection hidden="1"/>
    </xf>
    <xf numFmtId="0" fontId="38" fillId="29" borderId="10" xfId="0" applyFont="1" applyFill="1" applyBorder="1" applyAlignment="1" applyProtection="1">
      <alignment horizontal="center" vertical="center"/>
      <protection hidden="1"/>
    </xf>
    <xf numFmtId="0" fontId="38" fillId="29" borderId="13" xfId="0" applyFont="1" applyFill="1" applyBorder="1" applyAlignment="1" applyProtection="1">
      <alignment horizontal="center" vertical="center"/>
      <protection hidden="1"/>
    </xf>
    <xf numFmtId="0" fontId="62" fillId="6" borderId="14" xfId="0" applyFont="1" applyFill="1" applyBorder="1" applyAlignment="1" applyProtection="1">
      <alignment horizontal="center" vertical="center"/>
      <protection hidden="1"/>
    </xf>
    <xf numFmtId="0" fontId="62" fillId="6" borderId="22" xfId="0" applyFont="1" applyFill="1" applyBorder="1" applyAlignment="1" applyProtection="1">
      <alignment horizontal="center" vertical="center"/>
      <protection hidden="1"/>
    </xf>
    <xf numFmtId="0" fontId="34" fillId="34" borderId="18" xfId="0" applyFont="1" applyFill="1" applyBorder="1" applyAlignment="1" applyProtection="1">
      <alignment horizontal="left" vertical="center" wrapText="1"/>
      <protection hidden="1"/>
    </xf>
    <xf numFmtId="0" fontId="34" fillId="34" borderId="10" xfId="0" applyFont="1" applyFill="1" applyBorder="1" applyAlignment="1" applyProtection="1">
      <alignment horizontal="left" vertical="center" wrapText="1"/>
      <protection hidden="1"/>
    </xf>
    <xf numFmtId="0" fontId="49" fillId="34" borderId="10" xfId="0" applyFont="1" applyFill="1" applyBorder="1" applyAlignment="1" applyProtection="1">
      <alignment horizontal="left" vertical="center" wrapText="1"/>
      <protection hidden="1"/>
    </xf>
    <xf numFmtId="0" fontId="34" fillId="34" borderId="10" xfId="0" applyFont="1" applyFill="1" applyBorder="1" applyAlignment="1" applyProtection="1">
      <alignment horizontal="left" vertical="center"/>
      <protection hidden="1"/>
    </xf>
    <xf numFmtId="14" fontId="40" fillId="32" borderId="23" xfId="0" applyNumberFormat="1" applyFont="1" applyFill="1" applyBorder="1" applyAlignment="1" applyProtection="1">
      <alignment horizontal="center" vertical="center" wrapText="1"/>
      <protection hidden="1"/>
    </xf>
    <xf numFmtId="14" fontId="40" fillId="32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32" borderId="17" xfId="0" applyNumberFormat="1" applyFont="1" applyFill="1" applyBorder="1" applyAlignment="1" applyProtection="1">
      <alignment horizontal="center" vertical="center" wrapText="1"/>
      <protection hidden="1"/>
    </xf>
    <xf numFmtId="2" fontId="4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2" fontId="44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30" borderId="25" xfId="0" applyFont="1" applyFill="1" applyBorder="1" applyAlignment="1" applyProtection="1">
      <alignment horizontal="center" vertical="center"/>
      <protection hidden="1"/>
    </xf>
    <xf numFmtId="0" fontId="37" fillId="30" borderId="14" xfId="0" applyFont="1" applyFill="1" applyBorder="1" applyAlignment="1" applyProtection="1">
      <alignment horizontal="center" vertical="center"/>
      <protection hidden="1"/>
    </xf>
    <xf numFmtId="0" fontId="37" fillId="30" borderId="24" xfId="0" applyFont="1" applyFill="1" applyBorder="1" applyAlignment="1" applyProtection="1">
      <alignment horizontal="center" vertical="center"/>
      <protection hidden="1"/>
    </xf>
    <xf numFmtId="0" fontId="37" fillId="30" borderId="22" xfId="0" applyFont="1" applyFill="1" applyBorder="1" applyAlignment="1" applyProtection="1">
      <alignment horizontal="center" vertical="center"/>
      <protection hidden="1"/>
    </xf>
    <xf numFmtId="0" fontId="34" fillId="32" borderId="6" xfId="0" applyFont="1" applyFill="1" applyBorder="1" applyAlignment="1" applyProtection="1">
      <alignment horizontal="center" wrapText="1"/>
      <protection hidden="1"/>
    </xf>
    <xf numFmtId="0" fontId="34" fillId="32" borderId="7" xfId="0" applyFont="1" applyFill="1" applyBorder="1" applyAlignment="1" applyProtection="1">
      <alignment horizontal="center" wrapText="1"/>
      <protection hidden="1"/>
    </xf>
    <xf numFmtId="0" fontId="34" fillId="32" borderId="8" xfId="0" applyFont="1" applyFill="1" applyBorder="1" applyAlignment="1" applyProtection="1">
      <alignment horizontal="center" wrapText="1"/>
      <protection hidden="1"/>
    </xf>
    <xf numFmtId="0" fontId="41" fillId="6" borderId="11" xfId="0" applyFont="1" applyFill="1" applyBorder="1" applyAlignment="1" applyProtection="1">
      <alignment horizontal="left"/>
      <protection hidden="1"/>
    </xf>
    <xf numFmtId="0" fontId="41" fillId="6" borderId="12" xfId="0" applyFont="1" applyFill="1" applyBorder="1" applyAlignment="1" applyProtection="1">
      <alignment horizontal="left"/>
      <protection hidden="1"/>
    </xf>
    <xf numFmtId="0" fontId="33" fillId="6" borderId="11" xfId="0" applyFont="1" applyFill="1" applyBorder="1" applyAlignment="1" applyProtection="1">
      <alignment horizontal="left"/>
      <protection hidden="1"/>
    </xf>
    <xf numFmtId="0" fontId="33" fillId="6" borderId="12" xfId="0" applyFont="1" applyFill="1" applyBorder="1" applyAlignment="1" applyProtection="1">
      <alignment horizontal="left"/>
      <protection hidden="1"/>
    </xf>
    <xf numFmtId="0" fontId="41" fillId="6" borderId="10" xfId="0" applyFont="1" applyFill="1" applyBorder="1" applyAlignment="1" applyProtection="1">
      <alignment horizontal="center"/>
      <protection hidden="1"/>
    </xf>
    <xf numFmtId="14" fontId="40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4" fontId="4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13" borderId="22" xfId="0" applyFont="1" applyFill="1" applyBorder="1" applyAlignment="1" applyProtection="1">
      <alignment horizontal="center" vertical="center" wrapText="1"/>
      <protection hidden="1"/>
    </xf>
    <xf numFmtId="0" fontId="34" fillId="13" borderId="18" xfId="0" applyFont="1" applyFill="1" applyBorder="1" applyAlignment="1" applyProtection="1">
      <alignment horizontal="center" vertical="center" wrapText="1"/>
      <protection hidden="1"/>
    </xf>
    <xf numFmtId="0" fontId="34" fillId="13" borderId="7" xfId="0" applyFont="1" applyFill="1" applyBorder="1" applyAlignment="1" applyProtection="1">
      <alignment horizontal="center" vertical="center" wrapText="1"/>
      <protection hidden="1"/>
    </xf>
    <xf numFmtId="0" fontId="34" fillId="34" borderId="11" xfId="0" applyFont="1" applyFill="1" applyBorder="1" applyAlignment="1" applyProtection="1">
      <alignment horizontal="left" vertical="center" wrapText="1"/>
      <protection hidden="1"/>
    </xf>
    <xf numFmtId="0" fontId="34" fillId="34" borderId="15" xfId="0" applyFont="1" applyFill="1" applyBorder="1" applyAlignment="1" applyProtection="1">
      <alignment horizontal="left" vertical="center" wrapText="1"/>
      <protection hidden="1"/>
    </xf>
    <xf numFmtId="0" fontId="34" fillId="34" borderId="23" xfId="0" applyFont="1" applyFill="1" applyBorder="1" applyAlignment="1" applyProtection="1">
      <alignment horizontal="left" vertical="center" wrapText="1"/>
      <protection hidden="1"/>
    </xf>
    <xf numFmtId="0" fontId="34" fillId="34" borderId="19" xfId="0" applyFont="1" applyFill="1" applyBorder="1" applyAlignment="1" applyProtection="1">
      <alignment horizontal="left" vertical="center" wrapText="1"/>
      <protection hidden="1"/>
    </xf>
    <xf numFmtId="0" fontId="34" fillId="34" borderId="31" xfId="0" applyFont="1" applyFill="1" applyBorder="1" applyAlignment="1" applyProtection="1">
      <alignment horizontal="left" vertical="center" wrapText="1"/>
      <protection hidden="1"/>
    </xf>
    <xf numFmtId="0" fontId="34" fillId="34" borderId="7" xfId="0" applyFont="1" applyFill="1" applyBorder="1" applyAlignment="1" applyProtection="1">
      <alignment horizontal="left" vertical="center" wrapText="1"/>
      <protection hidden="1"/>
    </xf>
    <xf numFmtId="0" fontId="53" fillId="24" borderId="12" xfId="0" applyFont="1" applyFill="1" applyBorder="1" applyAlignment="1" applyProtection="1">
      <alignment horizontal="center" vertical="center" wrapText="1"/>
      <protection hidden="1"/>
    </xf>
    <xf numFmtId="0" fontId="53" fillId="24" borderId="10" xfId="0" applyFont="1" applyFill="1" applyBorder="1" applyAlignment="1" applyProtection="1">
      <alignment horizontal="center" vertical="center" wrapText="1"/>
      <protection hidden="1"/>
    </xf>
    <xf numFmtId="0" fontId="35" fillId="35" borderId="19" xfId="0" applyFont="1" applyFill="1" applyBorder="1" applyAlignment="1" applyProtection="1">
      <alignment horizontal="center" vertical="center" wrapText="1"/>
      <protection locked="0" hidden="1"/>
    </xf>
    <xf numFmtId="0" fontId="35" fillId="35" borderId="20" xfId="0" applyFont="1" applyFill="1" applyBorder="1" applyAlignment="1" applyProtection="1">
      <alignment horizontal="center" vertical="center" wrapText="1"/>
      <protection locked="0" hidden="1"/>
    </xf>
    <xf numFmtId="0" fontId="35" fillId="35" borderId="33" xfId="0" applyFont="1" applyFill="1" applyBorder="1" applyAlignment="1" applyProtection="1">
      <alignment horizontal="center" vertical="center" wrapText="1"/>
      <protection locked="0" hidden="1"/>
    </xf>
    <xf numFmtId="0" fontId="35" fillId="35" borderId="30" xfId="0" applyFont="1" applyFill="1" applyBorder="1" applyAlignment="1" applyProtection="1">
      <alignment horizontal="center" vertical="center" wrapText="1"/>
      <protection locked="0" hidden="1"/>
    </xf>
    <xf numFmtId="0" fontId="34" fillId="13" borderId="7" xfId="0" applyFont="1" applyFill="1" applyBorder="1" applyAlignment="1" applyProtection="1">
      <alignment horizontal="left" vertical="center" wrapText="1"/>
      <protection hidden="1"/>
    </xf>
    <xf numFmtId="1" fontId="4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" fontId="54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 textRotation="90" wrapText="1"/>
      <protection hidden="1"/>
    </xf>
    <xf numFmtId="0" fontId="16" fillId="0" borderId="16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1" fontId="50" fillId="0" borderId="0" xfId="0" applyNumberFormat="1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1" fontId="50" fillId="0" borderId="0" xfId="0" applyNumberFormat="1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right" vertical="center"/>
      <protection hidden="1"/>
    </xf>
    <xf numFmtId="0" fontId="55" fillId="0" borderId="0" xfId="0" applyFont="1" applyBorder="1" applyAlignment="1" applyProtection="1">
      <alignment horizontal="left" vertical="center"/>
      <protection hidden="1"/>
    </xf>
    <xf numFmtId="0" fontId="50" fillId="0" borderId="19" xfId="0" applyFont="1" applyFill="1" applyBorder="1" applyAlignment="1" applyProtection="1">
      <alignment horizontal="left" vertical="center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5" fillId="0" borderId="19" xfId="0" applyFont="1" applyBorder="1" applyAlignment="1" applyProtection="1">
      <alignment horizontal="left" vertical="center"/>
      <protection hidden="1"/>
    </xf>
    <xf numFmtId="0" fontId="50" fillId="0" borderId="0" xfId="0" applyFont="1" applyFill="1" applyBorder="1" applyAlignment="1" applyProtection="1">
      <alignment horizontal="left" vertical="center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 horizontal="right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55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vertic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2">
    <cellStyle name="Normal" xfId="0" builtinId="0"/>
    <cellStyle name="Normal_Pay_Feb2005" xfId="1" xr:uid="{00000000-0005-0000-0000-000001000000}"/>
  </cellStyles>
  <dxfs count="0"/>
  <tableStyles count="0" defaultTableStyle="TableStyleMedium2" defaultPivotStyle="PivotStyleLight16"/>
  <colors>
    <mruColors>
      <color rgb="FFFF0066"/>
      <color rgb="FF80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indexed="31"/>
  </sheetPr>
  <dimension ref="A1:Z50"/>
  <sheetViews>
    <sheetView tabSelected="1" topLeftCell="L10" workbookViewId="0">
      <selection activeCell="L5" sqref="L5"/>
    </sheetView>
  </sheetViews>
  <sheetFormatPr defaultColWidth="9.16796875" defaultRowHeight="13.5" x14ac:dyDescent="0.15"/>
  <cols>
    <col min="1" max="1" width="9.16796875" style="1" customWidth="1"/>
    <col min="2" max="2" width="14.29296875" style="1" customWidth="1"/>
    <col min="3" max="3" width="6.875" style="1" customWidth="1"/>
    <col min="4" max="4" width="9.70703125" style="1" customWidth="1"/>
    <col min="5" max="5" width="10.11328125" style="1" customWidth="1"/>
    <col min="6" max="6" width="3.7734375" style="1" customWidth="1"/>
    <col min="7" max="9" width="7.01171875" style="1" customWidth="1"/>
    <col min="10" max="10" width="6.203125" style="1" customWidth="1"/>
    <col min="11" max="11" width="5.93359375" style="1" customWidth="1"/>
    <col min="12" max="12" width="6.60546875" style="1" customWidth="1"/>
    <col min="13" max="13" width="5.796875" style="1" customWidth="1"/>
    <col min="14" max="15" width="6.875" style="1" customWidth="1"/>
    <col min="16" max="16" width="7.55078125" style="1" customWidth="1"/>
    <col min="17" max="17" width="6.203125" style="1" customWidth="1"/>
    <col min="18" max="18" width="6.47265625" style="1" customWidth="1"/>
    <col min="19" max="19" width="5.2578125" style="1" customWidth="1"/>
    <col min="20" max="20" width="5.12109375" style="1" customWidth="1"/>
    <col min="21" max="21" width="5.796875" style="1" customWidth="1"/>
    <col min="22" max="22" width="5.2578125" style="1" customWidth="1"/>
    <col min="23" max="23" width="8.76171875" style="1" customWidth="1"/>
    <col min="24" max="24" width="9.57421875" style="1" customWidth="1"/>
    <col min="25" max="25" width="6.60546875" style="1" customWidth="1"/>
    <col min="26" max="26" width="7.4140625" style="1" customWidth="1"/>
    <col min="27" max="31" width="9.16796875" style="1"/>
    <col min="32" max="32" width="15.5078125" style="1" customWidth="1"/>
    <col min="33" max="33" width="20.6328125" style="1" customWidth="1"/>
    <col min="34" max="16384" width="9.16796875" style="1"/>
  </cols>
  <sheetData>
    <row r="1" spans="1:26" ht="15.75" x14ac:dyDescent="0.15">
      <c r="A1" s="225" t="s">
        <v>333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2.75" customHeight="1" x14ac:dyDescent="0.15">
      <c r="A2" s="245" t="s">
        <v>257</v>
      </c>
      <c r="B2" s="245"/>
      <c r="C2" s="245"/>
      <c r="D2" s="245"/>
      <c r="E2" s="226" t="s">
        <v>166</v>
      </c>
      <c r="F2" s="227" t="s">
        <v>200</v>
      </c>
      <c r="G2" s="255" t="s">
        <v>167</v>
      </c>
      <c r="H2" s="256" t="s">
        <v>253</v>
      </c>
      <c r="I2" s="253" t="s">
        <v>254</v>
      </c>
      <c r="J2" s="246" t="s">
        <v>252</v>
      </c>
      <c r="K2" s="235" t="s">
        <v>56</v>
      </c>
      <c r="L2" s="236" t="s">
        <v>168</v>
      </c>
      <c r="M2" s="231" t="s">
        <v>239</v>
      </c>
      <c r="N2" s="252" t="s">
        <v>264</v>
      </c>
      <c r="O2" s="236" t="s">
        <v>240</v>
      </c>
      <c r="P2" s="248" t="s">
        <v>255</v>
      </c>
      <c r="Q2" s="232" t="s">
        <v>256</v>
      </c>
      <c r="R2" s="230" t="s">
        <v>1</v>
      </c>
      <c r="S2" s="242" t="s">
        <v>214</v>
      </c>
      <c r="T2" s="240" t="s">
        <v>208</v>
      </c>
      <c r="U2" s="241" t="s">
        <v>34</v>
      </c>
      <c r="V2" s="239" t="s">
        <v>59</v>
      </c>
      <c r="W2" s="250" t="s">
        <v>293</v>
      </c>
      <c r="X2" s="237" t="s">
        <v>61</v>
      </c>
      <c r="Y2" s="238" t="s">
        <v>209</v>
      </c>
      <c r="Z2" s="238" t="s">
        <v>210</v>
      </c>
    </row>
    <row r="3" spans="1:26" ht="12" customHeight="1" x14ac:dyDescent="0.15">
      <c r="A3" s="249" t="s">
        <v>207</v>
      </c>
      <c r="B3" s="249"/>
      <c r="C3" s="60">
        <v>2019</v>
      </c>
      <c r="D3" s="61" t="str">
        <f>"-"&amp;(C3+1)</f>
        <v>-2020</v>
      </c>
      <c r="E3" s="226"/>
      <c r="F3" s="227"/>
      <c r="G3" s="255"/>
      <c r="H3" s="257"/>
      <c r="I3" s="254"/>
      <c r="J3" s="247"/>
      <c r="K3" s="235"/>
      <c r="L3" s="236"/>
      <c r="M3" s="231"/>
      <c r="N3" s="252"/>
      <c r="O3" s="236"/>
      <c r="P3" s="248"/>
      <c r="Q3" s="232"/>
      <c r="R3" s="230"/>
      <c r="S3" s="242"/>
      <c r="T3" s="240"/>
      <c r="U3" s="241"/>
      <c r="V3" s="239"/>
      <c r="W3" s="250"/>
      <c r="X3" s="237"/>
      <c r="Y3" s="238"/>
      <c r="Z3" s="238"/>
    </row>
    <row r="4" spans="1:26" ht="12" customHeight="1" x14ac:dyDescent="0.2">
      <c r="A4" s="59" t="s">
        <v>196</v>
      </c>
      <c r="B4" s="243" t="s">
        <v>344</v>
      </c>
      <c r="C4" s="244"/>
      <c r="D4" s="244"/>
      <c r="E4" s="62" t="str">
        <f>"Mar-"&amp;$C$3</f>
        <v>Mar-2019</v>
      </c>
      <c r="F4" s="63"/>
      <c r="G4" s="64">
        <v>44300</v>
      </c>
      <c r="H4" s="65"/>
      <c r="I4" s="65"/>
      <c r="J4" s="66"/>
      <c r="K4" s="67"/>
      <c r="L4" s="67">
        <v>0</v>
      </c>
      <c r="M4" s="67"/>
      <c r="N4" s="67">
        <v>3000</v>
      </c>
      <c r="O4" s="67"/>
      <c r="P4" s="67"/>
      <c r="Q4" s="67"/>
      <c r="R4" s="67"/>
      <c r="S4" s="67">
        <v>755</v>
      </c>
      <c r="T4" s="67"/>
      <c r="U4" s="67">
        <v>4000</v>
      </c>
      <c r="V4" s="68">
        <v>2</v>
      </c>
      <c r="W4" s="69">
        <v>43556</v>
      </c>
      <c r="X4" s="70"/>
      <c r="Y4" s="71">
        <v>0.12</v>
      </c>
      <c r="Z4" s="72">
        <v>0.08</v>
      </c>
    </row>
    <row r="5" spans="1:26" ht="12" customHeight="1" x14ac:dyDescent="0.2">
      <c r="A5" s="59" t="s">
        <v>170</v>
      </c>
      <c r="B5" s="186" t="s">
        <v>335</v>
      </c>
      <c r="C5" s="73" t="s">
        <v>321</v>
      </c>
      <c r="D5" s="186" t="s">
        <v>337</v>
      </c>
      <c r="E5" s="62" t="str">
        <f>"Apr-"&amp;$C$3</f>
        <v>Apr-2019</v>
      </c>
      <c r="F5" s="63"/>
      <c r="G5" s="64">
        <f>G4</f>
        <v>44300</v>
      </c>
      <c r="H5" s="65"/>
      <c r="I5" s="65"/>
      <c r="J5" s="66"/>
      <c r="K5" s="67"/>
      <c r="L5" s="67">
        <f>L4</f>
        <v>0</v>
      </c>
      <c r="M5" s="67"/>
      <c r="N5" s="67">
        <f>N4</f>
        <v>3000</v>
      </c>
      <c r="O5" s="67"/>
      <c r="P5" s="67"/>
      <c r="Q5" s="67"/>
      <c r="R5" s="67"/>
      <c r="S5" s="67">
        <v>755</v>
      </c>
      <c r="T5" s="67"/>
      <c r="U5" s="67">
        <v>4000</v>
      </c>
      <c r="V5" s="68">
        <v>19</v>
      </c>
      <c r="W5" s="69">
        <v>43585</v>
      </c>
      <c r="X5" s="70"/>
      <c r="Y5" s="71">
        <v>0.12</v>
      </c>
      <c r="Z5" s="72">
        <v>0.08</v>
      </c>
    </row>
    <row r="6" spans="1:26" ht="12" customHeight="1" x14ac:dyDescent="0.2">
      <c r="A6" s="59" t="s">
        <v>197</v>
      </c>
      <c r="B6" s="233" t="s">
        <v>336</v>
      </c>
      <c r="C6" s="234"/>
      <c r="D6" s="234"/>
      <c r="E6" s="62" t="str">
        <f>"May-"&amp;$C$3</f>
        <v>May-2019</v>
      </c>
      <c r="F6" s="63"/>
      <c r="G6" s="64">
        <f>G4</f>
        <v>44300</v>
      </c>
      <c r="H6" s="65"/>
      <c r="I6" s="65"/>
      <c r="J6" s="66"/>
      <c r="K6" s="67"/>
      <c r="L6" s="67">
        <f>L4</f>
        <v>0</v>
      </c>
      <c r="M6" s="67"/>
      <c r="N6" s="67">
        <f>N4</f>
        <v>3000</v>
      </c>
      <c r="O6" s="67"/>
      <c r="P6" s="67"/>
      <c r="Q6" s="67"/>
      <c r="R6" s="67"/>
      <c r="S6" s="67">
        <v>845</v>
      </c>
      <c r="T6" s="67"/>
      <c r="U6" s="67">
        <v>4000</v>
      </c>
      <c r="V6" s="68">
        <v>28</v>
      </c>
      <c r="W6" s="69">
        <v>43613</v>
      </c>
      <c r="X6" s="70"/>
      <c r="Y6" s="71">
        <v>0.12</v>
      </c>
      <c r="Z6" s="72">
        <v>0.08</v>
      </c>
    </row>
    <row r="7" spans="1:26" ht="12" customHeight="1" x14ac:dyDescent="0.2">
      <c r="A7" s="59" t="s">
        <v>198</v>
      </c>
      <c r="B7" s="233" t="s">
        <v>318</v>
      </c>
      <c r="C7" s="234"/>
      <c r="D7" s="234"/>
      <c r="E7" s="62" t="str">
        <f>"Jun-"&amp;$C$3</f>
        <v>Jun-2019</v>
      </c>
      <c r="F7" s="63"/>
      <c r="G7" s="64">
        <f>G4</f>
        <v>44300</v>
      </c>
      <c r="H7" s="65"/>
      <c r="I7" s="65"/>
      <c r="J7" s="66"/>
      <c r="K7" s="67"/>
      <c r="L7" s="67">
        <f>L4</f>
        <v>0</v>
      </c>
      <c r="M7" s="67"/>
      <c r="N7" s="67">
        <f>N4</f>
        <v>3000</v>
      </c>
      <c r="O7" s="67"/>
      <c r="P7" s="67"/>
      <c r="Q7" s="67"/>
      <c r="R7" s="67"/>
      <c r="S7" s="67">
        <v>800</v>
      </c>
      <c r="T7" s="67"/>
      <c r="U7" s="67">
        <v>4000</v>
      </c>
      <c r="V7" s="68">
        <v>35</v>
      </c>
      <c r="W7" s="69">
        <v>43643</v>
      </c>
      <c r="X7" s="70"/>
      <c r="Y7" s="71">
        <v>0.12</v>
      </c>
      <c r="Z7" s="72">
        <v>0.08</v>
      </c>
    </row>
    <row r="8" spans="1:26" ht="12" customHeight="1" x14ac:dyDescent="0.2">
      <c r="A8" s="59" t="s">
        <v>199</v>
      </c>
      <c r="B8" s="74" t="s">
        <v>319</v>
      </c>
      <c r="C8" s="75" t="s">
        <v>211</v>
      </c>
      <c r="D8" s="76" t="s">
        <v>241</v>
      </c>
      <c r="E8" s="62" t="str">
        <f>"July-"&amp;$C$3</f>
        <v>July-2019</v>
      </c>
      <c r="F8" s="63"/>
      <c r="G8" s="64">
        <v>45600</v>
      </c>
      <c r="H8" s="65"/>
      <c r="I8" s="65"/>
      <c r="J8" s="77"/>
      <c r="K8" s="67"/>
      <c r="L8" s="67">
        <f>L4</f>
        <v>0</v>
      </c>
      <c r="M8" s="67"/>
      <c r="N8" s="67">
        <f>N4</f>
        <v>3000</v>
      </c>
      <c r="O8" s="67"/>
      <c r="P8" s="67"/>
      <c r="Q8" s="67"/>
      <c r="R8" s="67"/>
      <c r="S8" s="67">
        <v>800</v>
      </c>
      <c r="T8" s="67"/>
      <c r="U8" s="67">
        <v>4000</v>
      </c>
      <c r="V8" s="68">
        <v>44</v>
      </c>
      <c r="W8" s="69">
        <v>43677</v>
      </c>
      <c r="X8" s="70"/>
      <c r="Y8" s="71">
        <v>0.12</v>
      </c>
      <c r="Z8" s="72">
        <v>0.08</v>
      </c>
    </row>
    <row r="9" spans="1:26" ht="12" customHeight="1" x14ac:dyDescent="0.2">
      <c r="A9" s="59" t="s">
        <v>300</v>
      </c>
      <c r="B9" s="233" t="s">
        <v>301</v>
      </c>
      <c r="C9" s="234"/>
      <c r="D9" s="234"/>
      <c r="E9" s="62" t="str">
        <f>"Aug-"&amp;$C$3</f>
        <v>Aug-2019</v>
      </c>
      <c r="F9" s="63"/>
      <c r="G9" s="64">
        <f>G8</f>
        <v>45600</v>
      </c>
      <c r="H9" s="65"/>
      <c r="I9" s="65"/>
      <c r="J9" s="77"/>
      <c r="K9" s="67"/>
      <c r="L9" s="67">
        <f>L4</f>
        <v>0</v>
      </c>
      <c r="M9" s="67"/>
      <c r="N9" s="67">
        <f>N4</f>
        <v>3000</v>
      </c>
      <c r="O9" s="67"/>
      <c r="P9" s="67"/>
      <c r="Q9" s="67"/>
      <c r="R9" s="67"/>
      <c r="S9" s="67">
        <v>800</v>
      </c>
      <c r="T9" s="67"/>
      <c r="U9" s="67">
        <v>4000</v>
      </c>
      <c r="V9" s="68">
        <v>55</v>
      </c>
      <c r="W9" s="69">
        <v>43704</v>
      </c>
      <c r="X9" s="70"/>
      <c r="Y9" s="71">
        <v>0.12</v>
      </c>
      <c r="Z9" s="72">
        <v>0.08</v>
      </c>
    </row>
    <row r="10" spans="1:26" ht="12" customHeight="1" x14ac:dyDescent="0.2">
      <c r="A10" s="258" t="s">
        <v>323</v>
      </c>
      <c r="B10" s="258"/>
      <c r="C10" s="258"/>
      <c r="D10" s="259"/>
      <c r="E10" s="62" t="str">
        <f>"Sep-"&amp;$C$3</f>
        <v>Sep-2019</v>
      </c>
      <c r="F10" s="63"/>
      <c r="G10" s="64">
        <f>G8</f>
        <v>45600</v>
      </c>
      <c r="H10" s="65"/>
      <c r="I10" s="65"/>
      <c r="J10" s="66"/>
      <c r="K10" s="67"/>
      <c r="L10" s="67">
        <f>L4</f>
        <v>0</v>
      </c>
      <c r="M10" s="67"/>
      <c r="N10" s="67">
        <f>N4</f>
        <v>3000</v>
      </c>
      <c r="O10" s="67"/>
      <c r="P10" s="67"/>
      <c r="Q10" s="67"/>
      <c r="R10" s="67"/>
      <c r="S10" s="67">
        <v>800</v>
      </c>
      <c r="T10" s="67"/>
      <c r="U10" s="67">
        <v>4000</v>
      </c>
      <c r="V10" s="68">
        <v>72</v>
      </c>
      <c r="W10" s="69">
        <v>43734</v>
      </c>
      <c r="X10" s="70"/>
      <c r="Y10" s="71">
        <v>0.12</v>
      </c>
      <c r="Z10" s="72">
        <v>0.08</v>
      </c>
    </row>
    <row r="11" spans="1:26" ht="12" customHeight="1" x14ac:dyDescent="0.2">
      <c r="A11" s="228" t="s">
        <v>20</v>
      </c>
      <c r="B11" s="229"/>
      <c r="C11" s="78" t="s">
        <v>12</v>
      </c>
      <c r="D11" s="79">
        <v>4000</v>
      </c>
      <c r="E11" s="80" t="str">
        <f>"Oct-"&amp;$C$3</f>
        <v>Oct-2019</v>
      </c>
      <c r="F11" s="63"/>
      <c r="G11" s="64">
        <f>G8</f>
        <v>45600</v>
      </c>
      <c r="H11" s="65"/>
      <c r="I11" s="65"/>
      <c r="J11" s="66"/>
      <c r="K11" s="67"/>
      <c r="L11" s="67">
        <f>L4</f>
        <v>0</v>
      </c>
      <c r="M11" s="67"/>
      <c r="N11" s="67">
        <f>N4</f>
        <v>3000</v>
      </c>
      <c r="O11" s="67"/>
      <c r="P11" s="67"/>
      <c r="Q11" s="67"/>
      <c r="R11" s="67"/>
      <c r="S11" s="67">
        <v>800</v>
      </c>
      <c r="T11" s="67"/>
      <c r="U11" s="67">
        <v>4000</v>
      </c>
      <c r="V11" s="68">
        <v>85</v>
      </c>
      <c r="W11" s="69">
        <v>43766</v>
      </c>
      <c r="X11" s="70"/>
      <c r="Y11" s="71">
        <v>0.12</v>
      </c>
      <c r="Z11" s="72">
        <v>0.08</v>
      </c>
    </row>
    <row r="12" spans="1:26" ht="12" customHeight="1" x14ac:dyDescent="0.2">
      <c r="A12" s="228" t="s">
        <v>2</v>
      </c>
      <c r="B12" s="229"/>
      <c r="C12" s="78" t="s">
        <v>12</v>
      </c>
      <c r="D12" s="79">
        <v>0</v>
      </c>
      <c r="E12" s="80" t="str">
        <f>"Nov-"&amp;$C$3</f>
        <v>Nov-2019</v>
      </c>
      <c r="F12" s="63"/>
      <c r="G12" s="64">
        <f>G8</f>
        <v>45600</v>
      </c>
      <c r="H12" s="65"/>
      <c r="I12" s="65"/>
      <c r="J12" s="66"/>
      <c r="K12" s="67"/>
      <c r="L12" s="67">
        <f>L4</f>
        <v>0</v>
      </c>
      <c r="M12" s="67"/>
      <c r="N12" s="67">
        <f>N4</f>
        <v>3000</v>
      </c>
      <c r="O12" s="67"/>
      <c r="P12" s="67"/>
      <c r="Q12" s="67"/>
      <c r="R12" s="67"/>
      <c r="S12" s="67">
        <v>800</v>
      </c>
      <c r="T12" s="67"/>
      <c r="U12" s="67">
        <v>4000</v>
      </c>
      <c r="V12" s="68"/>
      <c r="W12" s="69"/>
      <c r="X12" s="70"/>
      <c r="Y12" s="71">
        <v>0.12</v>
      </c>
      <c r="Z12" s="72">
        <v>0.08</v>
      </c>
    </row>
    <row r="13" spans="1:26" ht="12" customHeight="1" x14ac:dyDescent="0.2">
      <c r="A13" s="228" t="s">
        <v>55</v>
      </c>
      <c r="B13" s="229"/>
      <c r="C13" s="78" t="s">
        <v>12</v>
      </c>
      <c r="D13" s="79">
        <v>12000</v>
      </c>
      <c r="E13" s="80" t="str">
        <f>"Dec-"&amp;$C$3</f>
        <v>Dec-2019</v>
      </c>
      <c r="F13" s="63"/>
      <c r="G13" s="64">
        <f>G8</f>
        <v>45600</v>
      </c>
      <c r="H13" s="65"/>
      <c r="I13" s="65"/>
      <c r="J13" s="66"/>
      <c r="K13" s="67"/>
      <c r="L13" s="67">
        <f>L4</f>
        <v>0</v>
      </c>
      <c r="M13" s="67"/>
      <c r="N13" s="67">
        <f>N4</f>
        <v>3000</v>
      </c>
      <c r="O13" s="67"/>
      <c r="P13" s="67"/>
      <c r="Q13" s="67"/>
      <c r="R13" s="67"/>
      <c r="S13" s="67">
        <v>800</v>
      </c>
      <c r="T13" s="67"/>
      <c r="U13" s="67">
        <v>4000</v>
      </c>
      <c r="V13" s="68"/>
      <c r="W13" s="69"/>
      <c r="X13" s="70"/>
      <c r="Y13" s="71">
        <v>0.12</v>
      </c>
      <c r="Z13" s="72">
        <v>0.08</v>
      </c>
    </row>
    <row r="14" spans="1:26" ht="12" customHeight="1" x14ac:dyDescent="0.2">
      <c r="A14" s="228" t="s">
        <v>171</v>
      </c>
      <c r="B14" s="229"/>
      <c r="C14" s="78" t="s">
        <v>12</v>
      </c>
      <c r="D14" s="79"/>
      <c r="E14" s="80" t="str">
        <f>"Jan-"&amp;$C$3+1</f>
        <v>Jan-2020</v>
      </c>
      <c r="F14" s="63"/>
      <c r="G14" s="64">
        <f>G8</f>
        <v>45600</v>
      </c>
      <c r="H14" s="65"/>
      <c r="I14" s="65"/>
      <c r="J14" s="66"/>
      <c r="K14" s="67"/>
      <c r="L14" s="67">
        <f>L4</f>
        <v>0</v>
      </c>
      <c r="M14" s="67"/>
      <c r="N14" s="67">
        <f>N4</f>
        <v>3000</v>
      </c>
      <c r="O14" s="67"/>
      <c r="P14" s="67"/>
      <c r="Q14" s="67"/>
      <c r="R14" s="67"/>
      <c r="S14" s="67">
        <v>800</v>
      </c>
      <c r="T14" s="67"/>
      <c r="U14" s="67"/>
      <c r="V14" s="68"/>
      <c r="W14" s="69"/>
      <c r="X14" s="70"/>
      <c r="Y14" s="71">
        <v>0.12</v>
      </c>
      <c r="Z14" s="72">
        <v>0.08</v>
      </c>
    </row>
    <row r="15" spans="1:26" ht="12" customHeight="1" x14ac:dyDescent="0.2">
      <c r="A15" s="228" t="s">
        <v>270</v>
      </c>
      <c r="B15" s="229"/>
      <c r="C15" s="78" t="s">
        <v>12</v>
      </c>
      <c r="D15" s="79"/>
      <c r="E15" s="81" t="str">
        <f>"Feb-"&amp;$C$3+1</f>
        <v>Feb-2020</v>
      </c>
      <c r="F15" s="63"/>
      <c r="G15" s="64">
        <f>G8</f>
        <v>45600</v>
      </c>
      <c r="H15" s="65"/>
      <c r="I15" s="65"/>
      <c r="J15" s="82"/>
      <c r="K15" s="67"/>
      <c r="L15" s="67">
        <f>L4</f>
        <v>0</v>
      </c>
      <c r="M15" s="67"/>
      <c r="N15" s="67">
        <f>N4</f>
        <v>3000</v>
      </c>
      <c r="O15" s="67"/>
      <c r="P15" s="83"/>
      <c r="Q15" s="83"/>
      <c r="R15" s="67"/>
      <c r="S15" s="67">
        <v>800</v>
      </c>
      <c r="T15" s="83"/>
      <c r="U15" s="67"/>
      <c r="V15" s="68"/>
      <c r="W15" s="69"/>
      <c r="X15" s="70"/>
      <c r="Y15" s="71">
        <v>0.12</v>
      </c>
      <c r="Z15" s="72">
        <v>0.08</v>
      </c>
    </row>
    <row r="16" spans="1:26" ht="12" customHeight="1" x14ac:dyDescent="0.2">
      <c r="A16" s="84" t="s">
        <v>21</v>
      </c>
      <c r="B16" s="85"/>
      <c r="C16" s="78" t="s">
        <v>12</v>
      </c>
      <c r="D16" s="79"/>
      <c r="E16" s="261" t="s">
        <v>243</v>
      </c>
      <c r="F16" s="261"/>
      <c r="G16" s="64">
        <v>0</v>
      </c>
      <c r="H16" s="262" t="s">
        <v>309</v>
      </c>
      <c r="I16" s="262"/>
      <c r="J16" s="262"/>
      <c r="K16" s="67"/>
      <c r="L16" s="86"/>
      <c r="M16" s="86"/>
      <c r="N16" s="86"/>
      <c r="O16" s="86"/>
      <c r="P16" s="86"/>
      <c r="Q16" s="86"/>
      <c r="R16" s="86"/>
      <c r="S16" s="86"/>
      <c r="T16" s="86"/>
      <c r="U16" s="67"/>
      <c r="V16" s="68"/>
      <c r="W16" s="69"/>
      <c r="X16" s="70"/>
      <c r="Y16" s="71">
        <v>0.12</v>
      </c>
      <c r="Z16" s="87"/>
    </row>
    <row r="17" spans="1:26" ht="12" customHeight="1" x14ac:dyDescent="0.2">
      <c r="A17" s="84" t="s">
        <v>172</v>
      </c>
      <c r="B17" s="85"/>
      <c r="C17" s="78" t="s">
        <v>12</v>
      </c>
      <c r="D17" s="79"/>
      <c r="E17" s="88" t="s">
        <v>58</v>
      </c>
      <c r="F17" s="89"/>
      <c r="G17" s="64"/>
      <c r="H17" s="261" t="s">
        <v>310</v>
      </c>
      <c r="I17" s="261"/>
      <c r="J17" s="261"/>
      <c r="K17" s="67"/>
      <c r="L17" s="86"/>
      <c r="M17" s="251" t="s">
        <v>277</v>
      </c>
      <c r="N17" s="251"/>
      <c r="O17" s="251"/>
      <c r="P17" s="251" t="s">
        <v>280</v>
      </c>
      <c r="Q17" s="251"/>
      <c r="R17" s="251"/>
      <c r="S17" s="264" t="s">
        <v>283</v>
      </c>
      <c r="T17" s="251" t="s">
        <v>289</v>
      </c>
      <c r="U17" s="67">
        <v>0</v>
      </c>
      <c r="V17" s="68"/>
      <c r="W17" s="69"/>
      <c r="X17" s="185"/>
      <c r="Y17" s="90"/>
      <c r="Z17" s="90"/>
    </row>
    <row r="18" spans="1:26" ht="12" customHeight="1" x14ac:dyDescent="0.2">
      <c r="A18" s="84" t="s">
        <v>271</v>
      </c>
      <c r="B18" s="85"/>
      <c r="C18" s="78" t="s">
        <v>12</v>
      </c>
      <c r="D18" s="79"/>
      <c r="E18" s="263" t="s">
        <v>218</v>
      </c>
      <c r="F18" s="263"/>
      <c r="G18" s="183"/>
      <c r="H18" s="91">
        <f>ROUND((G4*3%)*2,0)</f>
        <v>2658</v>
      </c>
      <c r="I18" s="65"/>
      <c r="J18" s="65"/>
      <c r="K18" s="65"/>
      <c r="L18" s="92">
        <f>IF(F15="y",0,H18)</f>
        <v>2658</v>
      </c>
      <c r="M18" s="251"/>
      <c r="N18" s="251"/>
      <c r="O18" s="251"/>
      <c r="P18" s="251"/>
      <c r="Q18" s="251"/>
      <c r="R18" s="251"/>
      <c r="S18" s="265"/>
      <c r="T18" s="251"/>
      <c r="U18" s="67"/>
      <c r="V18" s="68">
        <v>10</v>
      </c>
      <c r="W18" s="69">
        <v>43558</v>
      </c>
      <c r="X18" s="185"/>
      <c r="Y18" s="90"/>
      <c r="Z18" s="90"/>
    </row>
    <row r="19" spans="1:26" ht="12" customHeight="1" x14ac:dyDescent="0.2">
      <c r="A19" s="84" t="s">
        <v>296</v>
      </c>
      <c r="B19" s="85"/>
      <c r="C19" s="78" t="s">
        <v>12</v>
      </c>
      <c r="D19" s="93">
        <v>0</v>
      </c>
      <c r="E19" s="263" t="s">
        <v>219</v>
      </c>
      <c r="F19" s="263"/>
      <c r="G19" s="184"/>
      <c r="H19" s="91"/>
      <c r="I19" s="65"/>
      <c r="J19" s="65"/>
      <c r="K19" s="65"/>
      <c r="L19" s="92">
        <f>IF(F15="Y",0,H19)</f>
        <v>0</v>
      </c>
      <c r="M19" s="251" t="s">
        <v>279</v>
      </c>
      <c r="N19" s="251" t="s">
        <v>278</v>
      </c>
      <c r="O19" s="251" t="s">
        <v>5</v>
      </c>
      <c r="P19" s="251" t="s">
        <v>281</v>
      </c>
      <c r="Q19" s="251" t="s">
        <v>282</v>
      </c>
      <c r="R19" s="251" t="s">
        <v>5</v>
      </c>
      <c r="S19" s="265"/>
      <c r="T19" s="251"/>
      <c r="U19" s="67"/>
      <c r="V19" s="68"/>
      <c r="W19" s="69"/>
      <c r="X19" s="70"/>
      <c r="Y19" s="90"/>
      <c r="Z19" s="90"/>
    </row>
    <row r="20" spans="1:26" ht="12" customHeight="1" x14ac:dyDescent="0.2">
      <c r="A20" s="84" t="s">
        <v>297</v>
      </c>
      <c r="B20" s="85"/>
      <c r="C20" s="78" t="s">
        <v>12</v>
      </c>
      <c r="D20" s="94">
        <v>0</v>
      </c>
      <c r="E20" s="260" t="s">
        <v>244</v>
      </c>
      <c r="F20" s="260"/>
      <c r="G20" s="95">
        <v>0</v>
      </c>
      <c r="H20" s="96">
        <v>0</v>
      </c>
      <c r="I20" s="95">
        <v>0</v>
      </c>
      <c r="J20" s="101" t="s">
        <v>200</v>
      </c>
      <c r="K20" s="67"/>
      <c r="L20" s="97"/>
      <c r="M20" s="251"/>
      <c r="N20" s="251"/>
      <c r="O20" s="251"/>
      <c r="P20" s="251"/>
      <c r="Q20" s="251"/>
      <c r="R20" s="251"/>
      <c r="S20" s="266"/>
      <c r="T20" s="251"/>
      <c r="U20" s="67">
        <v>0</v>
      </c>
      <c r="V20" s="68"/>
      <c r="W20" s="69"/>
      <c r="X20" s="70"/>
      <c r="Y20" s="90"/>
      <c r="Z20" s="90"/>
    </row>
    <row r="21" spans="1:26" ht="12" customHeight="1" x14ac:dyDescent="0.2">
      <c r="A21" s="278" t="s">
        <v>298</v>
      </c>
      <c r="B21" s="279"/>
      <c r="C21" s="78" t="s">
        <v>12</v>
      </c>
      <c r="D21" s="94">
        <v>0</v>
      </c>
      <c r="E21" s="261" t="s">
        <v>217</v>
      </c>
      <c r="F21" s="261"/>
      <c r="G21" s="98">
        <v>0</v>
      </c>
      <c r="H21" s="99">
        <v>0</v>
      </c>
      <c r="I21" s="98">
        <v>0</v>
      </c>
      <c r="J21" s="101" t="s">
        <v>200</v>
      </c>
      <c r="K21" s="67"/>
      <c r="L21" s="100"/>
      <c r="M21" s="267">
        <v>220</v>
      </c>
      <c r="N21" s="267">
        <v>0</v>
      </c>
      <c r="O21" s="267">
        <f>SUM(M21:N22)</f>
        <v>220</v>
      </c>
      <c r="P21" s="299"/>
      <c r="Q21" s="299">
        <v>0</v>
      </c>
      <c r="R21" s="299">
        <v>0</v>
      </c>
      <c r="S21" s="299"/>
      <c r="T21" s="299"/>
      <c r="U21" s="67">
        <v>0</v>
      </c>
      <c r="V21" s="68"/>
      <c r="W21" s="69"/>
      <c r="X21" s="70"/>
      <c r="Y21" s="90"/>
      <c r="Z21" s="90"/>
    </row>
    <row r="22" spans="1:26" ht="12" customHeight="1" x14ac:dyDescent="0.2">
      <c r="A22" s="276" t="s">
        <v>299</v>
      </c>
      <c r="B22" s="277"/>
      <c r="C22" s="78" t="s">
        <v>12</v>
      </c>
      <c r="D22" s="94"/>
      <c r="E22" s="286" t="s">
        <v>324</v>
      </c>
      <c r="F22" s="287"/>
      <c r="G22" s="67"/>
      <c r="H22" s="67"/>
      <c r="I22" s="67"/>
      <c r="J22" s="101" t="s">
        <v>200</v>
      </c>
      <c r="K22" s="67"/>
      <c r="L22" s="67"/>
      <c r="M22" s="268"/>
      <c r="N22" s="267"/>
      <c r="O22" s="267"/>
      <c r="P22" s="299"/>
      <c r="Q22" s="299"/>
      <c r="R22" s="299"/>
      <c r="S22" s="299"/>
      <c r="T22" s="299"/>
      <c r="U22" s="67"/>
      <c r="V22" s="68"/>
      <c r="W22" s="69"/>
      <c r="X22" s="70"/>
      <c r="Y22" s="90"/>
      <c r="Z22" s="90"/>
    </row>
    <row r="23" spans="1:26" ht="12" customHeight="1" x14ac:dyDescent="0.2">
      <c r="A23" s="188" t="s">
        <v>223</v>
      </c>
      <c r="B23" s="189"/>
      <c r="C23" s="102" t="s">
        <v>12</v>
      </c>
      <c r="D23" s="94"/>
      <c r="E23" s="288" t="s">
        <v>325</v>
      </c>
      <c r="F23" s="289"/>
      <c r="G23" s="67"/>
      <c r="H23" s="67"/>
      <c r="I23" s="67"/>
      <c r="J23" s="101" t="s">
        <v>200</v>
      </c>
      <c r="K23" s="67"/>
      <c r="L23" s="67"/>
      <c r="M23" s="292" t="s">
        <v>311</v>
      </c>
      <c r="N23" s="293"/>
      <c r="O23" s="293"/>
      <c r="P23" s="293"/>
      <c r="Q23" s="293"/>
      <c r="R23" s="293"/>
      <c r="S23" s="293"/>
      <c r="T23" s="293"/>
      <c r="U23" s="67"/>
      <c r="V23" s="68"/>
      <c r="W23" s="69"/>
      <c r="X23" s="70"/>
      <c r="Y23" s="283" t="s">
        <v>330</v>
      </c>
      <c r="Z23" s="284"/>
    </row>
    <row r="24" spans="1:26" ht="12" customHeight="1" thickBot="1" x14ac:dyDescent="0.25">
      <c r="A24" s="280"/>
      <c r="B24" s="280"/>
      <c r="C24" s="280"/>
      <c r="D24" s="103"/>
      <c r="E24" s="290" t="s">
        <v>326</v>
      </c>
      <c r="F24" s="291"/>
      <c r="G24" s="67"/>
      <c r="H24" s="67"/>
      <c r="I24" s="67"/>
      <c r="J24" s="101" t="s">
        <v>200</v>
      </c>
      <c r="K24" s="67"/>
      <c r="L24" s="67"/>
      <c r="M24" s="285" t="s">
        <v>312</v>
      </c>
      <c r="N24" s="285"/>
      <c r="O24" s="296"/>
      <c r="P24" s="297"/>
      <c r="Q24" s="298" t="s">
        <v>313</v>
      </c>
      <c r="R24" s="298"/>
      <c r="S24" s="294"/>
      <c r="T24" s="295"/>
      <c r="U24" s="83"/>
      <c r="V24" s="190"/>
      <c r="W24" s="191"/>
      <c r="X24" s="192"/>
      <c r="Y24" s="281" t="s">
        <v>317</v>
      </c>
      <c r="Z24" s="282"/>
    </row>
    <row r="25" spans="1:26" ht="15.75" customHeight="1" x14ac:dyDescent="0.15">
      <c r="A25" s="269" t="s">
        <v>186</v>
      </c>
      <c r="B25" s="270"/>
      <c r="C25" s="270"/>
      <c r="D25" s="271"/>
      <c r="E25" s="271"/>
      <c r="F25" s="271"/>
      <c r="G25" s="270"/>
      <c r="H25" s="270"/>
      <c r="I25" s="270"/>
      <c r="J25" s="272"/>
      <c r="K25" s="104" t="s">
        <v>258</v>
      </c>
      <c r="L25" s="194" t="s">
        <v>343</v>
      </c>
      <c r="M25" s="214" t="s">
        <v>338</v>
      </c>
      <c r="N25" s="215"/>
      <c r="O25" s="215"/>
      <c r="P25" s="215"/>
      <c r="Q25" s="215"/>
      <c r="R25" s="216"/>
      <c r="S25" s="224" t="s">
        <v>284</v>
      </c>
      <c r="T25" s="224"/>
      <c r="U25" s="224"/>
      <c r="V25" s="224"/>
      <c r="W25" s="224"/>
      <c r="X25" s="224"/>
      <c r="Y25" s="224"/>
      <c r="Z25" s="224"/>
    </row>
    <row r="26" spans="1:26" ht="12" customHeight="1" x14ac:dyDescent="0.2">
      <c r="A26" s="105">
        <v>1</v>
      </c>
      <c r="B26" s="195" t="s">
        <v>173</v>
      </c>
      <c r="C26" s="196" t="s">
        <v>180</v>
      </c>
      <c r="D26" s="197"/>
      <c r="E26" s="197"/>
      <c r="F26" s="197"/>
      <c r="G26" s="198"/>
      <c r="H26" s="198"/>
      <c r="I26" s="198"/>
      <c r="J26" s="106" t="s">
        <v>12</v>
      </c>
      <c r="K26" s="208"/>
      <c r="L26" s="209">
        <f>IF(K26&lt;=25000,K26,25000)</f>
        <v>0</v>
      </c>
      <c r="M26" s="217"/>
      <c r="N26" s="218"/>
      <c r="O26" s="218"/>
      <c r="P26" s="218"/>
      <c r="Q26" s="218"/>
      <c r="R26" s="219"/>
      <c r="S26" s="193">
        <v>1</v>
      </c>
      <c r="T26" s="223" t="s">
        <v>285</v>
      </c>
      <c r="U26" s="223"/>
      <c r="V26" s="223"/>
      <c r="W26" s="223"/>
      <c r="X26" s="223"/>
      <c r="Y26" s="223"/>
      <c r="Z26" s="223"/>
    </row>
    <row r="27" spans="1:26" ht="12" customHeight="1" x14ac:dyDescent="0.2">
      <c r="A27" s="107">
        <v>2</v>
      </c>
      <c r="B27" s="199" t="s">
        <v>174</v>
      </c>
      <c r="C27" s="200" t="s">
        <v>181</v>
      </c>
      <c r="D27" s="201"/>
      <c r="E27" s="202"/>
      <c r="F27" s="201"/>
      <c r="G27" s="203"/>
      <c r="H27" s="203"/>
      <c r="I27" s="203"/>
      <c r="J27" s="108" t="s">
        <v>12</v>
      </c>
      <c r="K27" s="208">
        <v>0</v>
      </c>
      <c r="L27" s="209">
        <f>IF(K27&lt;=75000,K27,75000)</f>
        <v>0</v>
      </c>
      <c r="M27" s="217"/>
      <c r="N27" s="218"/>
      <c r="O27" s="218"/>
      <c r="P27" s="218"/>
      <c r="Q27" s="218"/>
      <c r="R27" s="219"/>
      <c r="S27" s="193">
        <v>2</v>
      </c>
      <c r="T27" s="213" t="s">
        <v>290</v>
      </c>
      <c r="U27" s="213"/>
      <c r="V27" s="213"/>
      <c r="W27" s="213"/>
      <c r="X27" s="213"/>
      <c r="Y27" s="213"/>
      <c r="Z27" s="213"/>
    </row>
    <row r="28" spans="1:26" ht="12" customHeight="1" x14ac:dyDescent="0.2">
      <c r="A28" s="107">
        <v>3</v>
      </c>
      <c r="B28" s="199" t="s">
        <v>175</v>
      </c>
      <c r="C28" s="200" t="s">
        <v>185</v>
      </c>
      <c r="D28" s="201"/>
      <c r="E28" s="201"/>
      <c r="F28" s="201"/>
      <c r="G28" s="203"/>
      <c r="H28" s="203"/>
      <c r="I28" s="203"/>
      <c r="J28" s="108" t="s">
        <v>12</v>
      </c>
      <c r="K28" s="208"/>
      <c r="L28" s="209">
        <f>IF(K28&lt;=40000,K28,40000)</f>
        <v>0</v>
      </c>
      <c r="M28" s="217"/>
      <c r="N28" s="218"/>
      <c r="O28" s="218"/>
      <c r="P28" s="218"/>
      <c r="Q28" s="218"/>
      <c r="R28" s="219"/>
      <c r="S28" s="193">
        <v>3</v>
      </c>
      <c r="T28" s="213" t="s">
        <v>339</v>
      </c>
      <c r="U28" s="213"/>
      <c r="V28" s="213"/>
      <c r="W28" s="213"/>
      <c r="X28" s="213"/>
      <c r="Y28" s="213"/>
      <c r="Z28" s="213"/>
    </row>
    <row r="29" spans="1:26" ht="12" customHeight="1" x14ac:dyDescent="0.2">
      <c r="A29" s="107">
        <v>4</v>
      </c>
      <c r="B29" s="199" t="s">
        <v>176</v>
      </c>
      <c r="C29" s="200" t="s">
        <v>183</v>
      </c>
      <c r="D29" s="201"/>
      <c r="E29" s="201"/>
      <c r="F29" s="201"/>
      <c r="G29" s="203"/>
      <c r="H29" s="203"/>
      <c r="I29" s="203"/>
      <c r="J29" s="109" t="s">
        <v>12</v>
      </c>
      <c r="K29" s="208"/>
      <c r="L29" s="209"/>
      <c r="M29" s="217"/>
      <c r="N29" s="218"/>
      <c r="O29" s="218"/>
      <c r="P29" s="218"/>
      <c r="Q29" s="218"/>
      <c r="R29" s="219"/>
      <c r="S29" s="193">
        <v>4</v>
      </c>
      <c r="T29" s="213" t="s">
        <v>340</v>
      </c>
      <c r="U29" s="213"/>
      <c r="V29" s="213"/>
      <c r="W29" s="213"/>
      <c r="X29" s="213"/>
      <c r="Y29" s="213"/>
      <c r="Z29" s="213"/>
    </row>
    <row r="30" spans="1:26" ht="12" customHeight="1" x14ac:dyDescent="0.2">
      <c r="A30" s="107">
        <v>5</v>
      </c>
      <c r="B30" s="199" t="s">
        <v>177</v>
      </c>
      <c r="C30" s="200" t="s">
        <v>184</v>
      </c>
      <c r="D30" s="201"/>
      <c r="E30" s="201"/>
      <c r="F30" s="201"/>
      <c r="G30" s="203"/>
      <c r="H30" s="203"/>
      <c r="I30" s="203"/>
      <c r="J30" s="108" t="s">
        <v>12</v>
      </c>
      <c r="K30" s="208">
        <v>0</v>
      </c>
      <c r="L30" s="209">
        <v>0</v>
      </c>
      <c r="M30" s="217"/>
      <c r="N30" s="218"/>
      <c r="O30" s="218"/>
      <c r="P30" s="218"/>
      <c r="Q30" s="218"/>
      <c r="R30" s="219"/>
      <c r="S30" s="193">
        <v>5</v>
      </c>
      <c r="T30" s="213" t="s">
        <v>341</v>
      </c>
      <c r="U30" s="213"/>
      <c r="V30" s="213"/>
      <c r="W30" s="213"/>
      <c r="X30" s="213"/>
      <c r="Y30" s="213"/>
      <c r="Z30" s="213"/>
    </row>
    <row r="31" spans="1:26" ht="12" customHeight="1" x14ac:dyDescent="0.2">
      <c r="A31" s="107">
        <v>6</v>
      </c>
      <c r="B31" s="199" t="s">
        <v>178</v>
      </c>
      <c r="C31" s="200" t="s">
        <v>189</v>
      </c>
      <c r="D31" s="201"/>
      <c r="E31" s="201"/>
      <c r="F31" s="201"/>
      <c r="G31" s="203"/>
      <c r="H31" s="203"/>
      <c r="I31" s="203"/>
      <c r="J31" s="108" t="s">
        <v>12</v>
      </c>
      <c r="K31" s="208"/>
      <c r="L31" s="209"/>
      <c r="M31" s="217"/>
      <c r="N31" s="218"/>
      <c r="O31" s="218"/>
      <c r="P31" s="218"/>
      <c r="Q31" s="218"/>
      <c r="R31" s="219"/>
      <c r="S31" s="193">
        <v>6</v>
      </c>
      <c r="T31" s="213" t="s">
        <v>342</v>
      </c>
      <c r="U31" s="213"/>
      <c r="V31" s="213"/>
      <c r="W31" s="213"/>
      <c r="X31" s="213"/>
      <c r="Y31" s="213"/>
      <c r="Z31" s="213"/>
    </row>
    <row r="32" spans="1:26" ht="12" customHeight="1" x14ac:dyDescent="0.2">
      <c r="A32" s="107">
        <v>7</v>
      </c>
      <c r="B32" s="199" t="s">
        <v>275</v>
      </c>
      <c r="C32" s="200" t="s">
        <v>276</v>
      </c>
      <c r="D32" s="201"/>
      <c r="E32" s="201"/>
      <c r="F32" s="201"/>
      <c r="G32" s="203"/>
      <c r="H32" s="203"/>
      <c r="I32" s="203"/>
      <c r="J32" s="108" t="s">
        <v>12</v>
      </c>
      <c r="K32" s="210">
        <v>0</v>
      </c>
      <c r="L32" s="209">
        <f>IF(K32&lt;=10000,K32,10000)</f>
        <v>0</v>
      </c>
      <c r="M32" s="217"/>
      <c r="N32" s="218"/>
      <c r="O32" s="218"/>
      <c r="P32" s="218"/>
      <c r="Q32" s="218"/>
      <c r="R32" s="219"/>
      <c r="S32" s="193">
        <v>7</v>
      </c>
      <c r="T32" s="213" t="s">
        <v>286</v>
      </c>
      <c r="U32" s="213"/>
      <c r="V32" s="213"/>
      <c r="W32" s="213"/>
      <c r="X32" s="213"/>
      <c r="Y32" s="213"/>
      <c r="Z32" s="213"/>
    </row>
    <row r="33" spans="1:26" ht="12" customHeight="1" x14ac:dyDescent="0.2">
      <c r="A33" s="110">
        <v>8</v>
      </c>
      <c r="B33" s="204" t="s">
        <v>179</v>
      </c>
      <c r="C33" s="205" t="s">
        <v>182</v>
      </c>
      <c r="D33" s="206"/>
      <c r="E33" s="206"/>
      <c r="F33" s="206"/>
      <c r="G33" s="207"/>
      <c r="H33" s="207"/>
      <c r="I33" s="207"/>
      <c r="J33" s="109" t="s">
        <v>12</v>
      </c>
      <c r="K33" s="211"/>
      <c r="L33" s="212"/>
      <c r="M33" s="217"/>
      <c r="N33" s="218"/>
      <c r="O33" s="218"/>
      <c r="P33" s="218"/>
      <c r="Q33" s="218"/>
      <c r="R33" s="219"/>
      <c r="S33" s="193">
        <v>8</v>
      </c>
      <c r="T33" s="213" t="s">
        <v>287</v>
      </c>
      <c r="U33" s="213"/>
      <c r="V33" s="213"/>
      <c r="W33" s="213"/>
      <c r="X33" s="213"/>
      <c r="Y33" s="213"/>
      <c r="Z33" s="213"/>
    </row>
    <row r="34" spans="1:26" ht="12" customHeight="1" thickBot="1" x14ac:dyDescent="0.25">
      <c r="A34" s="273" t="s">
        <v>345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5"/>
      <c r="M34" s="220"/>
      <c r="N34" s="221"/>
      <c r="O34" s="221"/>
      <c r="P34" s="221"/>
      <c r="Q34" s="221"/>
      <c r="R34" s="222"/>
      <c r="S34" s="193">
        <v>9</v>
      </c>
      <c r="T34" s="213" t="s">
        <v>288</v>
      </c>
      <c r="U34" s="213"/>
      <c r="V34" s="213"/>
      <c r="W34" s="213"/>
      <c r="X34" s="213"/>
      <c r="Y34" s="213"/>
      <c r="Z34" s="213"/>
    </row>
    <row r="35" spans="1:26" x14ac:dyDescent="0.15">
      <c r="A35" s="46"/>
      <c r="B35" s="46"/>
      <c r="C35" s="46"/>
      <c r="D35" s="46"/>
      <c r="E35" s="46"/>
      <c r="F35" s="46"/>
    </row>
    <row r="36" spans="1:26" x14ac:dyDescent="0.15">
      <c r="A36" s="47"/>
      <c r="B36" s="47"/>
      <c r="C36" s="47"/>
      <c r="D36" s="48"/>
      <c r="E36" s="48"/>
      <c r="F36" s="48"/>
    </row>
    <row r="37" spans="1:26" x14ac:dyDescent="0.15">
      <c r="A37" s="47"/>
      <c r="B37" s="47"/>
      <c r="C37" s="47"/>
      <c r="D37" s="48"/>
      <c r="E37" s="48"/>
      <c r="F37" s="48"/>
    </row>
    <row r="38" spans="1:26" x14ac:dyDescent="0.15">
      <c r="A38" s="41"/>
      <c r="B38" s="42"/>
      <c r="C38" s="42"/>
      <c r="D38" s="48"/>
      <c r="E38" s="48"/>
      <c r="F38" s="48"/>
    </row>
    <row r="39" spans="1:26" x14ac:dyDescent="0.15">
      <c r="A39" s="47"/>
      <c r="B39" s="47"/>
      <c r="C39" s="47"/>
      <c r="D39" s="48"/>
      <c r="E39" s="48"/>
      <c r="F39" s="48"/>
    </row>
    <row r="40" spans="1:26" x14ac:dyDescent="0.15">
      <c r="A40" s="47"/>
      <c r="B40" s="47"/>
      <c r="C40" s="47"/>
      <c r="D40" s="48"/>
      <c r="E40" s="48"/>
      <c r="F40" s="48"/>
    </row>
    <row r="41" spans="1:26" x14ac:dyDescent="0.15">
      <c r="A41" s="47"/>
      <c r="B41" s="47"/>
      <c r="C41" s="47"/>
      <c r="D41" s="48"/>
      <c r="E41" s="48"/>
      <c r="F41" s="57"/>
    </row>
    <row r="42" spans="1:26" x14ac:dyDescent="0.15">
      <c r="A42" s="43"/>
      <c r="B42" s="43"/>
      <c r="C42" s="43"/>
      <c r="D42" s="49"/>
      <c r="E42" s="49"/>
      <c r="F42" s="49"/>
    </row>
    <row r="43" spans="1:26" x14ac:dyDescent="0.15">
      <c r="A43" s="43"/>
      <c r="B43" s="44"/>
      <c r="C43" s="50"/>
      <c r="D43" s="50"/>
      <c r="E43" s="50"/>
      <c r="F43" s="50"/>
    </row>
    <row r="44" spans="1:26" x14ac:dyDescent="0.15">
      <c r="A44" s="43"/>
      <c r="B44" s="43"/>
      <c r="C44" s="43"/>
      <c r="D44" s="50"/>
      <c r="E44" s="50"/>
      <c r="F44" s="50"/>
    </row>
    <row r="45" spans="1:26" x14ac:dyDescent="0.15">
      <c r="A45" s="43"/>
      <c r="B45" s="43"/>
      <c r="C45" s="43"/>
      <c r="D45" s="50"/>
      <c r="E45" s="50"/>
      <c r="F45" s="50"/>
    </row>
    <row r="46" spans="1:26" x14ac:dyDescent="0.15">
      <c r="A46" s="43"/>
      <c r="B46" s="44"/>
      <c r="C46" s="51"/>
      <c r="D46" s="51"/>
      <c r="E46" s="51"/>
      <c r="F46" s="51"/>
    </row>
    <row r="47" spans="1:26" x14ac:dyDescent="0.15">
      <c r="A47" s="43"/>
      <c r="B47" s="44"/>
      <c r="C47" s="44"/>
      <c r="D47" s="52"/>
      <c r="E47" s="52"/>
      <c r="F47" s="52"/>
    </row>
    <row r="48" spans="1:26" x14ac:dyDescent="0.15">
      <c r="A48" s="53"/>
      <c r="B48" s="53"/>
      <c r="C48" s="49"/>
      <c r="D48" s="49"/>
      <c r="E48" s="49"/>
      <c r="F48" s="49"/>
    </row>
    <row r="49" spans="1:6" x14ac:dyDescent="0.15">
      <c r="A49" s="53"/>
      <c r="B49" s="53"/>
      <c r="C49" s="54"/>
      <c r="D49" s="49"/>
      <c r="E49" s="49"/>
      <c r="F49" s="49"/>
    </row>
    <row r="50" spans="1:6" x14ac:dyDescent="0.15">
      <c r="A50" s="45"/>
      <c r="B50" s="45"/>
      <c r="C50" s="45"/>
      <c r="D50" s="45"/>
      <c r="E50" s="45"/>
      <c r="F50" s="45"/>
    </row>
  </sheetData>
  <sheetProtection password="E80B" sheet="1" objects="1" scenarios="1" selectLockedCells="1"/>
  <mergeCells count="86">
    <mergeCell ref="Y24:Z24"/>
    <mergeCell ref="Y23:Z23"/>
    <mergeCell ref="M24:N24"/>
    <mergeCell ref="E22:F22"/>
    <mergeCell ref="E23:F23"/>
    <mergeCell ref="E24:F24"/>
    <mergeCell ref="M23:T23"/>
    <mergeCell ref="S24:T24"/>
    <mergeCell ref="O24:P24"/>
    <mergeCell ref="Q24:R24"/>
    <mergeCell ref="S21:S22"/>
    <mergeCell ref="T21:T22"/>
    <mergeCell ref="Q21:Q22"/>
    <mergeCell ref="R21:R22"/>
    <mergeCell ref="E21:F21"/>
    <mergeCell ref="P21:P22"/>
    <mergeCell ref="M21:M22"/>
    <mergeCell ref="N21:N22"/>
    <mergeCell ref="O19:O20"/>
    <mergeCell ref="A25:J25"/>
    <mergeCell ref="A34:L34"/>
    <mergeCell ref="M19:M20"/>
    <mergeCell ref="O21:O22"/>
    <mergeCell ref="A22:B22"/>
    <mergeCell ref="A21:B21"/>
    <mergeCell ref="A24:C24"/>
    <mergeCell ref="H16:J16"/>
    <mergeCell ref="H17:J17"/>
    <mergeCell ref="E18:F18"/>
    <mergeCell ref="E19:F19"/>
    <mergeCell ref="S17:S20"/>
    <mergeCell ref="P17:R18"/>
    <mergeCell ref="P19:P20"/>
    <mergeCell ref="Q19:Q20"/>
    <mergeCell ref="R19:R20"/>
    <mergeCell ref="M17:O18"/>
    <mergeCell ref="W2:W3"/>
    <mergeCell ref="B6:D6"/>
    <mergeCell ref="A11:B11"/>
    <mergeCell ref="A14:B14"/>
    <mergeCell ref="N19:N20"/>
    <mergeCell ref="N2:N3"/>
    <mergeCell ref="I2:I3"/>
    <mergeCell ref="G2:G3"/>
    <mergeCell ref="H2:H3"/>
    <mergeCell ref="A10:D10"/>
    <mergeCell ref="B9:D9"/>
    <mergeCell ref="T17:T20"/>
    <mergeCell ref="A13:B13"/>
    <mergeCell ref="A12:B12"/>
    <mergeCell ref="E20:F20"/>
    <mergeCell ref="E16:F16"/>
    <mergeCell ref="S2:S3"/>
    <mergeCell ref="B4:D4"/>
    <mergeCell ref="O2:O3"/>
    <mergeCell ref="A2:D2"/>
    <mergeCell ref="J2:J3"/>
    <mergeCell ref="P2:P3"/>
    <mergeCell ref="A3:B3"/>
    <mergeCell ref="A1:Z1"/>
    <mergeCell ref="E2:E3"/>
    <mergeCell ref="F2:F3"/>
    <mergeCell ref="A15:B15"/>
    <mergeCell ref="R2:R3"/>
    <mergeCell ref="M2:M3"/>
    <mergeCell ref="Q2:Q3"/>
    <mergeCell ref="B7:D7"/>
    <mergeCell ref="K2:K3"/>
    <mergeCell ref="L2:L3"/>
    <mergeCell ref="X2:X3"/>
    <mergeCell ref="Y2:Y3"/>
    <mergeCell ref="V2:V3"/>
    <mergeCell ref="T2:T3"/>
    <mergeCell ref="U2:U3"/>
    <mergeCell ref="Z2:Z3"/>
    <mergeCell ref="T32:Z32"/>
    <mergeCell ref="T33:Z33"/>
    <mergeCell ref="T34:Z34"/>
    <mergeCell ref="M25:R34"/>
    <mergeCell ref="T26:Z26"/>
    <mergeCell ref="T27:Z27"/>
    <mergeCell ref="T28:Z28"/>
    <mergeCell ref="T29:Z29"/>
    <mergeCell ref="T30:Z30"/>
    <mergeCell ref="T31:Z31"/>
    <mergeCell ref="S25:Z25"/>
  </mergeCells>
  <phoneticPr fontId="1" type="noConversion"/>
  <pageMargins left="0.75" right="0.75" top="1" bottom="1" header="0.5" footer="0.5"/>
  <pageSetup orientation="portrait" verticalDpi="14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52"/>
  </sheetPr>
  <dimension ref="A1:Z29"/>
  <sheetViews>
    <sheetView view="pageLayout" zoomScaleNormal="75" zoomScaleSheetLayoutView="100" workbookViewId="0">
      <selection activeCell="Y23" sqref="Y23"/>
    </sheetView>
  </sheetViews>
  <sheetFormatPr defaultRowHeight="12.75" x14ac:dyDescent="0.15"/>
  <cols>
    <col min="1" max="1" width="2.96484375" customWidth="1"/>
    <col min="2" max="2" width="9.16796875" customWidth="1"/>
    <col min="3" max="3" width="7.01171875" customWidth="1"/>
    <col min="4" max="4" width="6.875" customWidth="1"/>
    <col min="5" max="5" width="5.93359375" customWidth="1"/>
    <col min="6" max="6" width="5.66015625" hidden="1" customWidth="1"/>
    <col min="7" max="7" width="5.390625" customWidth="1"/>
    <col min="8" max="8" width="7.953125" bestFit="1" customWidth="1"/>
    <col min="9" max="9" width="6.47265625" customWidth="1"/>
    <col min="10" max="10" width="6.203125" customWidth="1"/>
    <col min="11" max="11" width="5.12109375" customWidth="1"/>
    <col min="12" max="12" width="5.93359375" customWidth="1"/>
    <col min="13" max="13" width="3.50390625" hidden="1" customWidth="1"/>
    <col min="14" max="14" width="5.796875" customWidth="1"/>
    <col min="15" max="15" width="5.93359375" customWidth="1"/>
    <col min="16" max="16" width="6.203125" customWidth="1"/>
    <col min="17" max="17" width="4.71875" customWidth="1"/>
    <col min="18" max="18" width="4.3125" customWidth="1"/>
    <col min="19" max="19" width="6.203125" customWidth="1"/>
    <col min="20" max="20" width="5.2578125" hidden="1" customWidth="1"/>
    <col min="21" max="21" width="6.3359375" customWidth="1"/>
    <col min="22" max="22" width="9.4375" bestFit="1" customWidth="1"/>
    <col min="23" max="23" width="8.8984375" customWidth="1"/>
    <col min="24" max="24" width="4.3125" customWidth="1"/>
    <col min="25" max="25" width="7.55078125" customWidth="1"/>
    <col min="26" max="26" width="7.68359375" customWidth="1"/>
  </cols>
  <sheetData>
    <row r="1" spans="1:26" ht="21" x14ac:dyDescent="0.25">
      <c r="A1" s="314" t="str">
        <f>"STATEMENT OF SALARY FINENCIAL YEAR  "&amp;Form!C3&amp;Form!D3</f>
        <v>STATEMENT OF SALARY FINENCIAL YEAR  2019-2020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6"/>
    </row>
    <row r="2" spans="1:26" s="55" customFormat="1" ht="21" customHeight="1" x14ac:dyDescent="0.15">
      <c r="A2" s="111" t="s">
        <v>4</v>
      </c>
      <c r="B2" s="112"/>
      <c r="C2" s="303" t="str">
        <f>Form!B4&amp;Form!C4&amp;Form!D4</f>
        <v>X</v>
      </c>
      <c r="D2" s="303"/>
      <c r="E2" s="303"/>
      <c r="F2" s="303"/>
      <c r="G2" s="303"/>
      <c r="H2" s="303"/>
      <c r="I2" s="302" t="s">
        <v>22</v>
      </c>
      <c r="J2" s="302"/>
      <c r="K2" s="319" t="str">
        <f>Form!$B$5</f>
        <v>Y</v>
      </c>
      <c r="L2" s="319"/>
      <c r="M2" s="319"/>
      <c r="N2" s="319"/>
      <c r="O2" s="305" t="s">
        <v>23</v>
      </c>
      <c r="P2" s="305"/>
      <c r="Q2" s="113" t="str">
        <f>Form!B7</f>
        <v>GOVT HIGHER SEC SCHOOL RAYLA</v>
      </c>
      <c r="R2" s="114"/>
      <c r="S2" s="114"/>
      <c r="T2" s="114"/>
      <c r="U2" s="114"/>
      <c r="V2" s="114"/>
      <c r="W2" s="114"/>
      <c r="X2" s="114"/>
      <c r="Y2" s="114"/>
      <c r="Z2" s="115"/>
    </row>
    <row r="3" spans="1:26" s="34" customFormat="1" ht="13.5" customHeight="1" x14ac:dyDescent="0.15">
      <c r="A3" s="304" t="s">
        <v>24</v>
      </c>
      <c r="B3" s="305"/>
      <c r="C3" s="305"/>
      <c r="D3" s="305"/>
      <c r="E3" s="305"/>
      <c r="F3" s="305"/>
      <c r="G3" s="305"/>
      <c r="H3" s="305"/>
      <c r="I3" s="305" t="s">
        <v>57</v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17" t="s">
        <v>36</v>
      </c>
      <c r="X3" s="317" t="s">
        <v>59</v>
      </c>
      <c r="Y3" s="317" t="s">
        <v>60</v>
      </c>
      <c r="Z3" s="318" t="s">
        <v>61</v>
      </c>
    </row>
    <row r="4" spans="1:26" s="34" customFormat="1" ht="58.5" customHeight="1" x14ac:dyDescent="0.15">
      <c r="A4" s="116" t="s">
        <v>25</v>
      </c>
      <c r="B4" s="117" t="s">
        <v>26</v>
      </c>
      <c r="C4" s="117" t="s">
        <v>27</v>
      </c>
      <c r="D4" s="117" t="s">
        <v>212</v>
      </c>
      <c r="E4" s="117" t="s">
        <v>28</v>
      </c>
      <c r="F4" s="118" t="s">
        <v>246</v>
      </c>
      <c r="G4" s="117" t="s">
        <v>56</v>
      </c>
      <c r="H4" s="117" t="s">
        <v>29</v>
      </c>
      <c r="I4" s="117" t="s">
        <v>168</v>
      </c>
      <c r="J4" s="117" t="s">
        <v>237</v>
      </c>
      <c r="K4" s="117" t="s">
        <v>30</v>
      </c>
      <c r="L4" s="117" t="s">
        <v>238</v>
      </c>
      <c r="M4" s="117" t="s">
        <v>248</v>
      </c>
      <c r="N4" s="117" t="s">
        <v>31</v>
      </c>
      <c r="O4" s="117" t="s">
        <v>32</v>
      </c>
      <c r="P4" s="117" t="s">
        <v>1</v>
      </c>
      <c r="Q4" s="117" t="s">
        <v>33</v>
      </c>
      <c r="R4" s="117" t="s">
        <v>215</v>
      </c>
      <c r="S4" s="118" t="s">
        <v>191</v>
      </c>
      <c r="T4" s="118" t="s">
        <v>246</v>
      </c>
      <c r="U4" s="117" t="s">
        <v>34</v>
      </c>
      <c r="V4" s="117" t="s">
        <v>35</v>
      </c>
      <c r="W4" s="317"/>
      <c r="X4" s="317"/>
      <c r="Y4" s="317"/>
      <c r="Z4" s="318"/>
    </row>
    <row r="5" spans="1:26" ht="17.850000000000001" customHeight="1" x14ac:dyDescent="0.15">
      <c r="A5" s="119">
        <v>1</v>
      </c>
      <c r="B5" s="120" t="str">
        <f>Form!$E4</f>
        <v>Mar-2019</v>
      </c>
      <c r="C5" s="121">
        <f>Form!$G4</f>
        <v>44300</v>
      </c>
      <c r="D5" s="121">
        <f>ROUND((C5)*Form!Y4,0)</f>
        <v>5316</v>
      </c>
      <c r="E5" s="121">
        <f>IF(Form!$D$8="Y",0,ROUND((C5)*Form!Z4,0))</f>
        <v>3544</v>
      </c>
      <c r="F5" s="121"/>
      <c r="G5" s="121">
        <f>Form!K4</f>
        <v>0</v>
      </c>
      <c r="H5" s="121">
        <f>SUM(C5:G5)</f>
        <v>53160</v>
      </c>
      <c r="I5" s="122">
        <f>Form!L4</f>
        <v>0</v>
      </c>
      <c r="J5" s="122">
        <f>Form!M4</f>
        <v>0</v>
      </c>
      <c r="K5" s="122">
        <f>Form!N4</f>
        <v>3000</v>
      </c>
      <c r="L5" s="122">
        <f>Form!O4</f>
        <v>0</v>
      </c>
      <c r="M5" s="123"/>
      <c r="N5" s="122">
        <f>Form!P4</f>
        <v>0</v>
      </c>
      <c r="O5" s="122">
        <f>Form!Q4</f>
        <v>0</v>
      </c>
      <c r="P5" s="122">
        <f>Form!R4</f>
        <v>0</v>
      </c>
      <c r="Q5" s="124"/>
      <c r="R5" s="122">
        <f>Form!S4</f>
        <v>755</v>
      </c>
      <c r="S5" s="124">
        <f>IF(Form!$F$4="Y",ROUND((C5+D5)*10%,0),0)</f>
        <v>0</v>
      </c>
      <c r="T5" s="124">
        <f t="shared" ref="T5:T22" si="0">F5</f>
        <v>0</v>
      </c>
      <c r="U5" s="122">
        <f>Form!$U4</f>
        <v>4000</v>
      </c>
      <c r="V5" s="125">
        <f>SUM(I5:U5)</f>
        <v>7755</v>
      </c>
      <c r="W5" s="126">
        <f t="shared" ref="W5:W25" si="1">H5-V5</f>
        <v>45405</v>
      </c>
      <c r="X5" s="127">
        <f>IF(Form!V4="","",Form!V4)</f>
        <v>2</v>
      </c>
      <c r="Y5" s="128">
        <f>IF(Form!W4="","",Form!W4)</f>
        <v>43556</v>
      </c>
      <c r="Z5" s="129" t="str">
        <f>IF(Form!X4="","",Form!X4)</f>
        <v/>
      </c>
    </row>
    <row r="6" spans="1:26" ht="17.850000000000001" customHeight="1" x14ac:dyDescent="0.15">
      <c r="A6" s="119">
        <v>2</v>
      </c>
      <c r="B6" s="120" t="str">
        <f>Form!$E5</f>
        <v>Apr-2019</v>
      </c>
      <c r="C6" s="121">
        <f>Form!$G5</f>
        <v>44300</v>
      </c>
      <c r="D6" s="121">
        <f>ROUND((C6)*Form!Y5,0)</f>
        <v>5316</v>
      </c>
      <c r="E6" s="121">
        <f>IF(Form!$D$8="Y",0,ROUND((C6)*Form!Z5,0))</f>
        <v>3544</v>
      </c>
      <c r="F6" s="121"/>
      <c r="G6" s="121">
        <f>Form!K5</f>
        <v>0</v>
      </c>
      <c r="H6" s="121">
        <f t="shared" ref="H6:H25" si="2">SUM(C6:G6)</f>
        <v>53160</v>
      </c>
      <c r="I6" s="122">
        <f>Form!L5</f>
        <v>0</v>
      </c>
      <c r="J6" s="122">
        <f>Form!M5</f>
        <v>0</v>
      </c>
      <c r="K6" s="122">
        <f>Form!N5</f>
        <v>3000</v>
      </c>
      <c r="L6" s="122">
        <f>Form!O5</f>
        <v>0</v>
      </c>
      <c r="M6" s="123"/>
      <c r="N6" s="122">
        <f>Form!P5</f>
        <v>0</v>
      </c>
      <c r="O6" s="122">
        <f>Form!Q5</f>
        <v>0</v>
      </c>
      <c r="P6" s="122">
        <f>Form!R5</f>
        <v>0</v>
      </c>
      <c r="Q6" s="124">
        <f>Form!O21</f>
        <v>220</v>
      </c>
      <c r="R6" s="122">
        <f>Form!S5</f>
        <v>755</v>
      </c>
      <c r="S6" s="124">
        <f>IF(Form!$F$5="Y",ROUND((C6+D6)*10%,0),0)</f>
        <v>0</v>
      </c>
      <c r="T6" s="124">
        <f t="shared" si="0"/>
        <v>0</v>
      </c>
      <c r="U6" s="122">
        <f>Form!$U5</f>
        <v>4000</v>
      </c>
      <c r="V6" s="125">
        <f t="shared" ref="V6:V25" si="3">SUM(I6:U6)</f>
        <v>7975</v>
      </c>
      <c r="W6" s="126">
        <f t="shared" si="1"/>
        <v>45185</v>
      </c>
      <c r="X6" s="130">
        <f>IF(Form!V5="","",Form!V5)</f>
        <v>19</v>
      </c>
      <c r="Y6" s="128">
        <f>IF(Form!W5="","",Form!W5)</f>
        <v>43585</v>
      </c>
      <c r="Z6" s="131" t="str">
        <f>IF(Form!X5="","",Form!X5)</f>
        <v/>
      </c>
    </row>
    <row r="7" spans="1:26" ht="17.850000000000001" customHeight="1" x14ac:dyDescent="0.15">
      <c r="A7" s="119">
        <v>3</v>
      </c>
      <c r="B7" s="120" t="str">
        <f>Form!$E6</f>
        <v>May-2019</v>
      </c>
      <c r="C7" s="121">
        <f>Form!$G6</f>
        <v>44300</v>
      </c>
      <c r="D7" s="121">
        <f>ROUND((C7)*Form!Y6,0)</f>
        <v>5316</v>
      </c>
      <c r="E7" s="121">
        <f>IF(Form!$D$8="Y",0,ROUND((C7)*Form!Z6,0))</f>
        <v>3544</v>
      </c>
      <c r="F7" s="121"/>
      <c r="G7" s="121">
        <f>Form!K6</f>
        <v>0</v>
      </c>
      <c r="H7" s="121">
        <f t="shared" si="2"/>
        <v>53160</v>
      </c>
      <c r="I7" s="122">
        <f>Form!L6</f>
        <v>0</v>
      </c>
      <c r="J7" s="122">
        <f>Form!M6</f>
        <v>0</v>
      </c>
      <c r="K7" s="122">
        <f>Form!N6</f>
        <v>3000</v>
      </c>
      <c r="L7" s="122">
        <f>Form!O6</f>
        <v>0</v>
      </c>
      <c r="M7" s="123"/>
      <c r="N7" s="122">
        <f>Form!P6</f>
        <v>0</v>
      </c>
      <c r="O7" s="122">
        <f>Form!Q6</f>
        <v>0</v>
      </c>
      <c r="P7" s="122">
        <f>Form!R6</f>
        <v>0</v>
      </c>
      <c r="Q7" s="124"/>
      <c r="R7" s="122">
        <f>Form!S6</f>
        <v>845</v>
      </c>
      <c r="S7" s="124">
        <f>IF(Form!$F$6="Y",ROUND((C7+D7)*10%,0),0)</f>
        <v>0</v>
      </c>
      <c r="T7" s="124">
        <f t="shared" si="0"/>
        <v>0</v>
      </c>
      <c r="U7" s="122">
        <f>Form!$U6</f>
        <v>4000</v>
      </c>
      <c r="V7" s="125">
        <f t="shared" si="3"/>
        <v>7845</v>
      </c>
      <c r="W7" s="126">
        <f t="shared" si="1"/>
        <v>45315</v>
      </c>
      <c r="X7" s="130">
        <f>IF(Form!V6="","",Form!V6)</f>
        <v>28</v>
      </c>
      <c r="Y7" s="128">
        <f>IF(Form!W6="","",Form!W6)</f>
        <v>43613</v>
      </c>
      <c r="Z7" s="131" t="str">
        <f>IF(Form!X6="","",Form!X6)</f>
        <v/>
      </c>
    </row>
    <row r="8" spans="1:26" ht="17.850000000000001" customHeight="1" x14ac:dyDescent="0.15">
      <c r="A8" s="119">
        <v>4</v>
      </c>
      <c r="B8" s="120" t="str">
        <f>Form!$E7</f>
        <v>Jun-2019</v>
      </c>
      <c r="C8" s="121">
        <f>Form!$G7</f>
        <v>44300</v>
      </c>
      <c r="D8" s="121">
        <f>ROUND((C8)*Form!Y7,0)</f>
        <v>5316</v>
      </c>
      <c r="E8" s="121">
        <f>IF(Form!$D$8="Y",0,ROUND((C8)*Form!Z7,0))</f>
        <v>3544</v>
      </c>
      <c r="F8" s="121"/>
      <c r="G8" s="121">
        <f>Form!K7</f>
        <v>0</v>
      </c>
      <c r="H8" s="121">
        <f t="shared" si="2"/>
        <v>53160</v>
      </c>
      <c r="I8" s="122">
        <f>Form!L7</f>
        <v>0</v>
      </c>
      <c r="J8" s="122">
        <f>Form!M7</f>
        <v>0</v>
      </c>
      <c r="K8" s="122">
        <f>Form!N7</f>
        <v>3000</v>
      </c>
      <c r="L8" s="122">
        <f>Form!O7</f>
        <v>0</v>
      </c>
      <c r="M8" s="123"/>
      <c r="N8" s="122">
        <f>Form!P7</f>
        <v>0</v>
      </c>
      <c r="O8" s="122">
        <f>Form!Q7</f>
        <v>0</v>
      </c>
      <c r="P8" s="122">
        <f>Form!R7</f>
        <v>0</v>
      </c>
      <c r="Q8" s="124"/>
      <c r="R8" s="122">
        <f>Form!S7</f>
        <v>800</v>
      </c>
      <c r="S8" s="124">
        <f>IF(Form!$F$7="Y",ROUND((C8+D8)*10%,0),0)</f>
        <v>0</v>
      </c>
      <c r="T8" s="124">
        <f t="shared" si="0"/>
        <v>0</v>
      </c>
      <c r="U8" s="122">
        <f>Form!$U7</f>
        <v>4000</v>
      </c>
      <c r="V8" s="125">
        <f t="shared" si="3"/>
        <v>7800</v>
      </c>
      <c r="W8" s="126">
        <f t="shared" si="1"/>
        <v>45360</v>
      </c>
      <c r="X8" s="130">
        <f>IF(Form!V7="","",Form!V7)</f>
        <v>35</v>
      </c>
      <c r="Y8" s="128">
        <f>IF(Form!W7="","",Form!W7)</f>
        <v>43643</v>
      </c>
      <c r="Z8" s="131" t="str">
        <f>IF(Form!X7="","",Form!X7)</f>
        <v/>
      </c>
    </row>
    <row r="9" spans="1:26" ht="17.850000000000001" customHeight="1" x14ac:dyDescent="0.15">
      <c r="A9" s="119">
        <v>5</v>
      </c>
      <c r="B9" s="120" t="str">
        <f>Form!$E8</f>
        <v>July-2019</v>
      </c>
      <c r="C9" s="121">
        <f>Form!$G8</f>
        <v>45600</v>
      </c>
      <c r="D9" s="121">
        <f>ROUND((C9)*Form!Y8,0)</f>
        <v>5472</v>
      </c>
      <c r="E9" s="121">
        <f>IF(Form!$D$8="Y",0,ROUND((C9)*Form!Z8,0))</f>
        <v>3648</v>
      </c>
      <c r="F9" s="121"/>
      <c r="G9" s="121">
        <f>Form!K8</f>
        <v>0</v>
      </c>
      <c r="H9" s="121">
        <f t="shared" si="2"/>
        <v>54720</v>
      </c>
      <c r="I9" s="122">
        <f>Form!L8</f>
        <v>0</v>
      </c>
      <c r="J9" s="122">
        <f>Form!M8</f>
        <v>0</v>
      </c>
      <c r="K9" s="122">
        <f>Form!N8</f>
        <v>3000</v>
      </c>
      <c r="L9" s="122">
        <f>Form!O8</f>
        <v>0</v>
      </c>
      <c r="M9" s="132"/>
      <c r="N9" s="122">
        <f>Form!P8</f>
        <v>0</v>
      </c>
      <c r="O9" s="122">
        <f>Form!Q8</f>
        <v>0</v>
      </c>
      <c r="P9" s="122">
        <f>Form!R8</f>
        <v>0</v>
      </c>
      <c r="Q9" s="124"/>
      <c r="R9" s="122">
        <f>Form!S8</f>
        <v>800</v>
      </c>
      <c r="S9" s="124">
        <f>IF(Form!$F$8="Y",ROUND((C9+D9)*10%,0),0)</f>
        <v>0</v>
      </c>
      <c r="T9" s="124">
        <f t="shared" si="0"/>
        <v>0</v>
      </c>
      <c r="U9" s="122">
        <f>Form!$U8</f>
        <v>4000</v>
      </c>
      <c r="V9" s="125">
        <f t="shared" si="3"/>
        <v>7800</v>
      </c>
      <c r="W9" s="126">
        <f t="shared" si="1"/>
        <v>46920</v>
      </c>
      <c r="X9" s="130">
        <f>IF(Form!V8="","",Form!V8)</f>
        <v>44</v>
      </c>
      <c r="Y9" s="128">
        <f>IF(Form!W8="","",Form!W8)</f>
        <v>43677</v>
      </c>
      <c r="Z9" s="131" t="str">
        <f>IF(Form!X8="","",Form!X8)</f>
        <v/>
      </c>
    </row>
    <row r="10" spans="1:26" ht="17.850000000000001" customHeight="1" x14ac:dyDescent="0.15">
      <c r="A10" s="119">
        <v>6</v>
      </c>
      <c r="B10" s="120" t="str">
        <f>Form!$E9</f>
        <v>Aug-2019</v>
      </c>
      <c r="C10" s="121">
        <f>Form!$G9</f>
        <v>45600</v>
      </c>
      <c r="D10" s="121">
        <f>ROUND((C10)*Form!Y9,0)</f>
        <v>5472</v>
      </c>
      <c r="E10" s="121">
        <f>IF(Form!$D$8="Y",0,ROUND((C10)*Form!Z9,0))</f>
        <v>3648</v>
      </c>
      <c r="F10" s="121"/>
      <c r="G10" s="121">
        <f>Form!K9</f>
        <v>0</v>
      </c>
      <c r="H10" s="121">
        <f t="shared" si="2"/>
        <v>54720</v>
      </c>
      <c r="I10" s="122">
        <f>Form!L9</f>
        <v>0</v>
      </c>
      <c r="J10" s="122">
        <f>Form!M9</f>
        <v>0</v>
      </c>
      <c r="K10" s="122">
        <f>Form!N9</f>
        <v>3000</v>
      </c>
      <c r="L10" s="122">
        <f>Form!O9</f>
        <v>0</v>
      </c>
      <c r="M10" s="123"/>
      <c r="N10" s="122">
        <f>Form!P9</f>
        <v>0</v>
      </c>
      <c r="O10" s="122">
        <f>Form!Q9</f>
        <v>0</v>
      </c>
      <c r="P10" s="122">
        <f>Form!R9</f>
        <v>0</v>
      </c>
      <c r="Q10" s="124"/>
      <c r="R10" s="122">
        <f>Form!S9</f>
        <v>800</v>
      </c>
      <c r="S10" s="124">
        <f>IF(Form!$F$9="Y",ROUND((C10+D10)*10%,0),0)</f>
        <v>0</v>
      </c>
      <c r="T10" s="124">
        <f t="shared" si="0"/>
        <v>0</v>
      </c>
      <c r="U10" s="122">
        <f>Form!$U9</f>
        <v>4000</v>
      </c>
      <c r="V10" s="125">
        <f t="shared" si="3"/>
        <v>7800</v>
      </c>
      <c r="W10" s="126">
        <f t="shared" si="1"/>
        <v>46920</v>
      </c>
      <c r="X10" s="130">
        <f>IF(Form!V9="","",Form!V9)</f>
        <v>55</v>
      </c>
      <c r="Y10" s="128">
        <f>IF(Form!W9="","",Form!W9)</f>
        <v>43704</v>
      </c>
      <c r="Z10" s="131" t="str">
        <f>IF(Form!X9="","",Form!X9)</f>
        <v/>
      </c>
    </row>
    <row r="11" spans="1:26" ht="17.850000000000001" customHeight="1" x14ac:dyDescent="0.15">
      <c r="A11" s="119">
        <v>7</v>
      </c>
      <c r="B11" s="120" t="str">
        <f>Form!$E10</f>
        <v>Sep-2019</v>
      </c>
      <c r="C11" s="121">
        <f>Form!$G10</f>
        <v>45600</v>
      </c>
      <c r="D11" s="121">
        <f>ROUND((C11)*Form!Y10,0)</f>
        <v>5472</v>
      </c>
      <c r="E11" s="121">
        <f>IF(Form!$D$8="Y",0,ROUND((C11)*Form!Z10,0))</f>
        <v>3648</v>
      </c>
      <c r="F11" s="121"/>
      <c r="G11" s="121">
        <f>Form!K10</f>
        <v>0</v>
      </c>
      <c r="H11" s="121">
        <f t="shared" si="2"/>
        <v>54720</v>
      </c>
      <c r="I11" s="122">
        <f>Form!L10</f>
        <v>0</v>
      </c>
      <c r="J11" s="122">
        <f>Form!M10</f>
        <v>0</v>
      </c>
      <c r="K11" s="122">
        <f>Form!N10</f>
        <v>3000</v>
      </c>
      <c r="L11" s="122">
        <f>Form!O10</f>
        <v>0</v>
      </c>
      <c r="M11" s="123"/>
      <c r="N11" s="122">
        <f>Form!P10</f>
        <v>0</v>
      </c>
      <c r="O11" s="122">
        <f>Form!Q10</f>
        <v>0</v>
      </c>
      <c r="P11" s="122">
        <f>Form!R10</f>
        <v>0</v>
      </c>
      <c r="Q11" s="124"/>
      <c r="R11" s="122">
        <f>Form!S10</f>
        <v>800</v>
      </c>
      <c r="S11" s="124">
        <f>IF(Form!$F$10="Y",ROUND((C11+D11)*10%,0),0)</f>
        <v>0</v>
      </c>
      <c r="T11" s="124">
        <f t="shared" si="0"/>
        <v>0</v>
      </c>
      <c r="U11" s="122">
        <f>Form!$U10</f>
        <v>4000</v>
      </c>
      <c r="V11" s="125">
        <f t="shared" si="3"/>
        <v>7800</v>
      </c>
      <c r="W11" s="126">
        <f t="shared" si="1"/>
        <v>46920</v>
      </c>
      <c r="X11" s="130">
        <f>IF(Form!V10="","",Form!V10)</f>
        <v>72</v>
      </c>
      <c r="Y11" s="128">
        <f>IF(Form!W10="","",Form!W10)</f>
        <v>43734</v>
      </c>
      <c r="Z11" s="131" t="str">
        <f>IF(Form!X10="","",Form!X10)</f>
        <v/>
      </c>
    </row>
    <row r="12" spans="1:26" ht="17.850000000000001" customHeight="1" x14ac:dyDescent="0.15">
      <c r="A12" s="119">
        <v>8</v>
      </c>
      <c r="B12" s="120" t="str">
        <f>Form!$E11</f>
        <v>Oct-2019</v>
      </c>
      <c r="C12" s="121">
        <f>Form!$G11</f>
        <v>45600</v>
      </c>
      <c r="D12" s="121">
        <f>ROUND((C12)*Form!Y11,0)</f>
        <v>5472</v>
      </c>
      <c r="E12" s="121">
        <f>IF(Form!$D$8="Y",0,ROUND((C12)*Form!Z11,0))</f>
        <v>3648</v>
      </c>
      <c r="F12" s="121"/>
      <c r="G12" s="121">
        <f>Form!K11</f>
        <v>0</v>
      </c>
      <c r="H12" s="121">
        <f t="shared" si="2"/>
        <v>54720</v>
      </c>
      <c r="I12" s="122">
        <f>Form!L11</f>
        <v>0</v>
      </c>
      <c r="J12" s="122">
        <f>Form!M11</f>
        <v>0</v>
      </c>
      <c r="K12" s="122">
        <f>Form!N11</f>
        <v>3000</v>
      </c>
      <c r="L12" s="122">
        <f>Form!O11</f>
        <v>0</v>
      </c>
      <c r="M12" s="123"/>
      <c r="N12" s="122">
        <f>Form!P11</f>
        <v>0</v>
      </c>
      <c r="O12" s="122">
        <f>Form!Q11</f>
        <v>0</v>
      </c>
      <c r="P12" s="122">
        <f>Form!R11</f>
        <v>0</v>
      </c>
      <c r="Q12" s="124"/>
      <c r="R12" s="122">
        <f>Form!S11</f>
        <v>800</v>
      </c>
      <c r="S12" s="124">
        <f>IF(Form!$F$11="Y",ROUND((C12+D12)*10%,0),0)</f>
        <v>0</v>
      </c>
      <c r="T12" s="124">
        <f t="shared" si="0"/>
        <v>0</v>
      </c>
      <c r="U12" s="122">
        <f>Form!$U11</f>
        <v>4000</v>
      </c>
      <c r="V12" s="125">
        <f t="shared" si="3"/>
        <v>7800</v>
      </c>
      <c r="W12" s="126">
        <f t="shared" si="1"/>
        <v>46920</v>
      </c>
      <c r="X12" s="130">
        <f>IF(Form!V11="","",Form!V11)</f>
        <v>85</v>
      </c>
      <c r="Y12" s="128">
        <f>IF(Form!W11="","",Form!W11)</f>
        <v>43766</v>
      </c>
      <c r="Z12" s="131" t="str">
        <f>IF(Form!X11="","",Form!X11)</f>
        <v/>
      </c>
    </row>
    <row r="13" spans="1:26" ht="17.850000000000001" customHeight="1" x14ac:dyDescent="0.15">
      <c r="A13" s="119">
        <v>9</v>
      </c>
      <c r="B13" s="120" t="str">
        <f>Form!$E12</f>
        <v>Nov-2019</v>
      </c>
      <c r="C13" s="121">
        <f>Form!$G12</f>
        <v>45600</v>
      </c>
      <c r="D13" s="121">
        <f>ROUND((C13)*Form!Y12,0)</f>
        <v>5472</v>
      </c>
      <c r="E13" s="121">
        <f>IF(Form!$D$8="Y",0,ROUND((C13)*Form!Z12,0))</f>
        <v>3648</v>
      </c>
      <c r="F13" s="121"/>
      <c r="G13" s="121">
        <f>Form!K12</f>
        <v>0</v>
      </c>
      <c r="H13" s="121">
        <f t="shared" si="2"/>
        <v>54720</v>
      </c>
      <c r="I13" s="122">
        <f>Form!L12</f>
        <v>0</v>
      </c>
      <c r="J13" s="122">
        <f>Form!M12</f>
        <v>0</v>
      </c>
      <c r="K13" s="122">
        <f>Form!N12</f>
        <v>3000</v>
      </c>
      <c r="L13" s="122">
        <f>Form!O12</f>
        <v>0</v>
      </c>
      <c r="M13" s="123"/>
      <c r="N13" s="122">
        <f>Form!P12</f>
        <v>0</v>
      </c>
      <c r="O13" s="122">
        <f>Form!Q12</f>
        <v>0</v>
      </c>
      <c r="P13" s="122">
        <f>Form!R12</f>
        <v>0</v>
      </c>
      <c r="Q13" s="124"/>
      <c r="R13" s="122">
        <f>Form!S12</f>
        <v>800</v>
      </c>
      <c r="S13" s="124">
        <f>IF(Form!$F$12="Y",ROUND((C13+D13)*10%,0),0)</f>
        <v>0</v>
      </c>
      <c r="T13" s="124">
        <f t="shared" si="0"/>
        <v>0</v>
      </c>
      <c r="U13" s="122">
        <f>Form!$U12</f>
        <v>4000</v>
      </c>
      <c r="V13" s="125">
        <f t="shared" si="3"/>
        <v>7800</v>
      </c>
      <c r="W13" s="126">
        <f t="shared" si="1"/>
        <v>46920</v>
      </c>
      <c r="X13" s="130" t="str">
        <f>IF(Form!V12="","",Form!V12)</f>
        <v/>
      </c>
      <c r="Y13" s="133" t="str">
        <f>IF(Form!W12="","",Form!W12)</f>
        <v/>
      </c>
      <c r="Z13" s="131" t="str">
        <f>IF(Form!X12="","",Form!X12)</f>
        <v/>
      </c>
    </row>
    <row r="14" spans="1:26" ht="17.850000000000001" customHeight="1" x14ac:dyDescent="0.15">
      <c r="A14" s="119">
        <v>10</v>
      </c>
      <c r="B14" s="120" t="str">
        <f>Form!$E13</f>
        <v>Dec-2019</v>
      </c>
      <c r="C14" s="121">
        <f>Form!$G13</f>
        <v>45600</v>
      </c>
      <c r="D14" s="121">
        <f>ROUND((C14)*Form!Y13,0)</f>
        <v>5472</v>
      </c>
      <c r="E14" s="121">
        <f>IF(Form!$D$8="Y",0,ROUND((C14)*Form!Z13,0))</f>
        <v>3648</v>
      </c>
      <c r="F14" s="121"/>
      <c r="G14" s="121">
        <f>Form!K13</f>
        <v>0</v>
      </c>
      <c r="H14" s="121">
        <f t="shared" si="2"/>
        <v>54720</v>
      </c>
      <c r="I14" s="122">
        <f>Form!L13</f>
        <v>0</v>
      </c>
      <c r="J14" s="122">
        <f>Form!M13</f>
        <v>0</v>
      </c>
      <c r="K14" s="122">
        <f>Form!N13</f>
        <v>3000</v>
      </c>
      <c r="L14" s="122">
        <f>Form!O13</f>
        <v>0</v>
      </c>
      <c r="M14" s="123"/>
      <c r="N14" s="122">
        <f>Form!P13</f>
        <v>0</v>
      </c>
      <c r="O14" s="122">
        <f>Form!Q13</f>
        <v>0</v>
      </c>
      <c r="P14" s="122">
        <f>Form!R13</f>
        <v>0</v>
      </c>
      <c r="Q14" s="124"/>
      <c r="R14" s="122">
        <f>Form!S13</f>
        <v>800</v>
      </c>
      <c r="S14" s="124">
        <f>IF(Form!$F$13="Y",ROUND((C14+D14)*10%,0),0)</f>
        <v>0</v>
      </c>
      <c r="T14" s="124">
        <f t="shared" si="0"/>
        <v>0</v>
      </c>
      <c r="U14" s="122">
        <f>Form!$U13</f>
        <v>4000</v>
      </c>
      <c r="V14" s="125">
        <f t="shared" si="3"/>
        <v>7800</v>
      </c>
      <c r="W14" s="126">
        <f t="shared" si="1"/>
        <v>46920</v>
      </c>
      <c r="X14" s="130" t="str">
        <f>IF(Form!V13="","",Form!V13)</f>
        <v/>
      </c>
      <c r="Y14" s="133" t="str">
        <f>IF(Form!W13="","",Form!W13)</f>
        <v/>
      </c>
      <c r="Z14" s="131" t="str">
        <f>IF(Form!X13="","",Form!X13)</f>
        <v/>
      </c>
    </row>
    <row r="15" spans="1:26" ht="17.850000000000001" customHeight="1" x14ac:dyDescent="0.15">
      <c r="A15" s="119">
        <v>11</v>
      </c>
      <c r="B15" s="120" t="str">
        <f>Form!$E14</f>
        <v>Jan-2020</v>
      </c>
      <c r="C15" s="121">
        <f>Form!$G14</f>
        <v>45600</v>
      </c>
      <c r="D15" s="121">
        <f>ROUND((C15)*Form!Y14,0)</f>
        <v>5472</v>
      </c>
      <c r="E15" s="121">
        <f>IF(Form!$D$8="Y",0,ROUND((C15)*Form!Z14,0))</f>
        <v>3648</v>
      </c>
      <c r="F15" s="121"/>
      <c r="G15" s="121">
        <f>Form!K14</f>
        <v>0</v>
      </c>
      <c r="H15" s="121">
        <f t="shared" si="2"/>
        <v>54720</v>
      </c>
      <c r="I15" s="122">
        <f>Form!L14</f>
        <v>0</v>
      </c>
      <c r="J15" s="122">
        <f>Form!M14</f>
        <v>0</v>
      </c>
      <c r="K15" s="122">
        <f>Form!N14</f>
        <v>3000</v>
      </c>
      <c r="L15" s="122">
        <f>Form!O14</f>
        <v>0</v>
      </c>
      <c r="M15" s="123"/>
      <c r="N15" s="122">
        <f>Form!P14</f>
        <v>0</v>
      </c>
      <c r="O15" s="122">
        <f>Form!Q14</f>
        <v>0</v>
      </c>
      <c r="P15" s="122">
        <f>Form!R14</f>
        <v>0</v>
      </c>
      <c r="Q15" s="124"/>
      <c r="R15" s="122">
        <f>Form!S14</f>
        <v>800</v>
      </c>
      <c r="S15" s="124">
        <f>IF(Form!$F$14="Y",ROUND((C15+D15)*10%,0),0)</f>
        <v>0</v>
      </c>
      <c r="T15" s="124">
        <f t="shared" si="0"/>
        <v>0</v>
      </c>
      <c r="U15" s="122">
        <f>Form!$U14</f>
        <v>0</v>
      </c>
      <c r="V15" s="125">
        <f t="shared" si="3"/>
        <v>3800</v>
      </c>
      <c r="W15" s="134">
        <f t="shared" si="1"/>
        <v>50920</v>
      </c>
      <c r="X15" s="130" t="str">
        <f>IF(Form!V14="","",Form!V14)</f>
        <v/>
      </c>
      <c r="Y15" s="133" t="str">
        <f>IF(Form!W14="","",Form!W14)</f>
        <v/>
      </c>
      <c r="Z15" s="131" t="str">
        <f>IF(Form!X14="","",Form!X14)</f>
        <v/>
      </c>
    </row>
    <row r="16" spans="1:26" ht="17.850000000000001" customHeight="1" x14ac:dyDescent="0.15">
      <c r="A16" s="119">
        <v>12</v>
      </c>
      <c r="B16" s="120" t="str">
        <f>Form!$E15</f>
        <v>Feb-2020</v>
      </c>
      <c r="C16" s="121">
        <f>Form!$G15</f>
        <v>45600</v>
      </c>
      <c r="D16" s="121">
        <f>ROUND((C16)*Form!Y15,0)</f>
        <v>5472</v>
      </c>
      <c r="E16" s="121">
        <f>IF(Form!$D$8="Y",0,ROUND((C16)*Form!Z15,0))</f>
        <v>3648</v>
      </c>
      <c r="F16" s="121"/>
      <c r="G16" s="121">
        <f>Form!K15</f>
        <v>0</v>
      </c>
      <c r="H16" s="121">
        <f t="shared" si="2"/>
        <v>54720</v>
      </c>
      <c r="I16" s="122">
        <f>Form!L15</f>
        <v>0</v>
      </c>
      <c r="J16" s="122">
        <f>Form!M15</f>
        <v>0</v>
      </c>
      <c r="K16" s="122">
        <f>Form!N15</f>
        <v>3000</v>
      </c>
      <c r="L16" s="122">
        <f>Form!O15</f>
        <v>0</v>
      </c>
      <c r="M16" s="123"/>
      <c r="N16" s="122">
        <f>Form!P15</f>
        <v>0</v>
      </c>
      <c r="O16" s="122">
        <f>Form!Q15</f>
        <v>0</v>
      </c>
      <c r="P16" s="122">
        <f>Form!R15</f>
        <v>0</v>
      </c>
      <c r="Q16" s="124"/>
      <c r="R16" s="122">
        <f>Form!S15</f>
        <v>800</v>
      </c>
      <c r="S16" s="124">
        <f>IF(Form!$F$15="Y",ROUND((C16+D16)*10%,0),0)</f>
        <v>0</v>
      </c>
      <c r="T16" s="124">
        <f t="shared" si="0"/>
        <v>0</v>
      </c>
      <c r="U16" s="122">
        <f>Form!$U15</f>
        <v>0</v>
      </c>
      <c r="V16" s="125">
        <f t="shared" si="3"/>
        <v>3800</v>
      </c>
      <c r="W16" s="126">
        <f t="shared" si="1"/>
        <v>50920</v>
      </c>
      <c r="X16" s="130" t="str">
        <f>IF(Form!V15="","",Form!V15)</f>
        <v/>
      </c>
      <c r="Y16" s="133" t="str">
        <f>IF(Form!W15="","",Form!W15)</f>
        <v/>
      </c>
      <c r="Z16" s="131" t="str">
        <f>IF(Form!X15="","",Form!X15)</f>
        <v/>
      </c>
    </row>
    <row r="17" spans="1:26" ht="17.850000000000001" customHeight="1" x14ac:dyDescent="0.15">
      <c r="A17" s="119">
        <v>13</v>
      </c>
      <c r="B17" s="135" t="s">
        <v>218</v>
      </c>
      <c r="C17" s="121"/>
      <c r="D17" s="121">
        <f>Form!H18</f>
        <v>2658</v>
      </c>
      <c r="E17" s="121"/>
      <c r="F17" s="121"/>
      <c r="G17" s="121"/>
      <c r="H17" s="121">
        <f t="shared" si="2"/>
        <v>2658</v>
      </c>
      <c r="I17" s="122">
        <f>Form!L18</f>
        <v>2658</v>
      </c>
      <c r="J17" s="122"/>
      <c r="K17" s="122"/>
      <c r="L17" s="122"/>
      <c r="M17" s="122"/>
      <c r="N17" s="122"/>
      <c r="O17" s="122"/>
      <c r="P17" s="122"/>
      <c r="Q17" s="124"/>
      <c r="R17" s="124"/>
      <c r="S17" s="124">
        <f>IF(Form!$F$15="Y",ROUND((C17+D17)*10%,0),0)</f>
        <v>0</v>
      </c>
      <c r="T17" s="124">
        <f t="shared" si="0"/>
        <v>0</v>
      </c>
      <c r="U17" s="122">
        <f>Form!U18</f>
        <v>0</v>
      </c>
      <c r="V17" s="125">
        <f t="shared" si="3"/>
        <v>2658</v>
      </c>
      <c r="W17" s="126">
        <f t="shared" si="1"/>
        <v>0</v>
      </c>
      <c r="X17" s="130" t="str">
        <f>IF(Form!V17="","",Form!V17)</f>
        <v/>
      </c>
      <c r="Y17" s="133" t="str">
        <f>IF(Form!W17="","",Form!W17)</f>
        <v/>
      </c>
      <c r="Z17" s="131" t="str">
        <f>IF(Form!X17="","",Form!X17)</f>
        <v/>
      </c>
    </row>
    <row r="18" spans="1:26" ht="17.850000000000001" customHeight="1" x14ac:dyDescent="0.15">
      <c r="A18" s="119">
        <v>14</v>
      </c>
      <c r="B18" s="135" t="s">
        <v>219</v>
      </c>
      <c r="C18" s="121"/>
      <c r="D18" s="121">
        <f>Form!H19</f>
        <v>0</v>
      </c>
      <c r="E18" s="121"/>
      <c r="F18" s="121"/>
      <c r="G18" s="121"/>
      <c r="H18" s="121">
        <f t="shared" si="2"/>
        <v>0</v>
      </c>
      <c r="I18" s="122">
        <f>Form!L19</f>
        <v>0</v>
      </c>
      <c r="J18" s="122"/>
      <c r="K18" s="122"/>
      <c r="L18" s="122"/>
      <c r="M18" s="122"/>
      <c r="N18" s="122"/>
      <c r="O18" s="122"/>
      <c r="P18" s="122"/>
      <c r="Q18" s="124"/>
      <c r="R18" s="124"/>
      <c r="S18" s="124">
        <f>IF(Form!$F$15="Y",ROUND((C18+D18)*10%,0),0)</f>
        <v>0</v>
      </c>
      <c r="T18" s="124">
        <f t="shared" si="0"/>
        <v>0</v>
      </c>
      <c r="U18" s="122">
        <f>Form!U19</f>
        <v>0</v>
      </c>
      <c r="V18" s="125">
        <f t="shared" si="3"/>
        <v>0</v>
      </c>
      <c r="W18" s="126">
        <f t="shared" si="1"/>
        <v>0</v>
      </c>
      <c r="X18" s="130">
        <f>IF(Form!V18="","",Form!V18)</f>
        <v>10</v>
      </c>
      <c r="Y18" s="133">
        <f>IF(Form!W18="","",Form!W18)</f>
        <v>43558</v>
      </c>
      <c r="Z18" s="131" t="str">
        <f>IF(Form!X18="","",Form!X18)</f>
        <v/>
      </c>
    </row>
    <row r="19" spans="1:26" ht="17.850000000000001" customHeight="1" x14ac:dyDescent="0.15">
      <c r="A19" s="119">
        <v>15</v>
      </c>
      <c r="B19" s="137" t="s">
        <v>58</v>
      </c>
      <c r="C19" s="121"/>
      <c r="D19" s="121"/>
      <c r="E19" s="121"/>
      <c r="F19" s="138"/>
      <c r="G19" s="138">
        <f>Form!G17</f>
        <v>0</v>
      </c>
      <c r="H19" s="121">
        <f t="shared" si="2"/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4">
        <f t="shared" si="0"/>
        <v>0</v>
      </c>
      <c r="U19" s="122">
        <f>Form!U17</f>
        <v>0</v>
      </c>
      <c r="V19" s="125">
        <f t="shared" si="3"/>
        <v>0</v>
      </c>
      <c r="W19" s="126">
        <f t="shared" si="1"/>
        <v>0</v>
      </c>
      <c r="X19" s="130" t="str">
        <f>IF(Form!V19="","",Form!V19)</f>
        <v/>
      </c>
      <c r="Y19" s="133" t="str">
        <f>IF(Form!W19="","",Form!W19)</f>
        <v/>
      </c>
      <c r="Z19" s="131" t="str">
        <f>IF(Form!X19="","",Form!X19)</f>
        <v/>
      </c>
    </row>
    <row r="20" spans="1:26" ht="17.850000000000001" customHeight="1" x14ac:dyDescent="0.15">
      <c r="A20" s="119">
        <v>16</v>
      </c>
      <c r="B20" s="137" t="s">
        <v>216</v>
      </c>
      <c r="C20" s="121">
        <f>Form!G16</f>
        <v>0</v>
      </c>
      <c r="D20" s="121">
        <f>ROUND((C20)*Form!Y16,0)</f>
        <v>0</v>
      </c>
      <c r="E20" s="121"/>
      <c r="F20" s="138"/>
      <c r="G20" s="121"/>
      <c r="H20" s="121">
        <f t="shared" si="2"/>
        <v>0</v>
      </c>
      <c r="I20" s="124">
        <f>Form!L16</f>
        <v>0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4">
        <f t="shared" si="0"/>
        <v>0</v>
      </c>
      <c r="U20" s="122">
        <f>Form!U16</f>
        <v>0</v>
      </c>
      <c r="V20" s="125">
        <f t="shared" si="3"/>
        <v>0</v>
      </c>
      <c r="W20" s="126">
        <f t="shared" si="1"/>
        <v>0</v>
      </c>
      <c r="X20" s="130" t="str">
        <f>IF(Form!V16="","",Form!V16)</f>
        <v/>
      </c>
      <c r="Y20" s="133" t="str">
        <f>IF(Form!W16="","",Form!W16)</f>
        <v/>
      </c>
      <c r="Z20" s="131" t="str">
        <f>IF(Form!X16="","",Form!X16)</f>
        <v/>
      </c>
    </row>
    <row r="21" spans="1:26" ht="17.850000000000001" customHeight="1" x14ac:dyDescent="0.15">
      <c r="A21" s="119">
        <v>17</v>
      </c>
      <c r="B21" s="120" t="s">
        <v>245</v>
      </c>
      <c r="C21" s="121">
        <f>Form!G20</f>
        <v>0</v>
      </c>
      <c r="D21" s="121">
        <f>Form!H20</f>
        <v>0</v>
      </c>
      <c r="E21" s="121">
        <f>Form!I20</f>
        <v>0</v>
      </c>
      <c r="F21" s="121"/>
      <c r="G21" s="121"/>
      <c r="H21" s="121">
        <f t="shared" si="2"/>
        <v>0</v>
      </c>
      <c r="I21" s="121">
        <f>Form!L20</f>
        <v>0</v>
      </c>
      <c r="J21" s="121"/>
      <c r="K21" s="121"/>
      <c r="L21" s="121"/>
      <c r="M21" s="121"/>
      <c r="N21" s="121"/>
      <c r="O21" s="121"/>
      <c r="P21" s="121"/>
      <c r="Q21" s="134"/>
      <c r="R21" s="134"/>
      <c r="S21" s="134">
        <f>Form!K20</f>
        <v>0</v>
      </c>
      <c r="T21" s="134">
        <f t="shared" si="0"/>
        <v>0</v>
      </c>
      <c r="U21" s="121">
        <f>Form!U20</f>
        <v>0</v>
      </c>
      <c r="V21" s="136">
        <f t="shared" si="3"/>
        <v>0</v>
      </c>
      <c r="W21" s="126">
        <f t="shared" si="1"/>
        <v>0</v>
      </c>
      <c r="X21" s="130" t="str">
        <f>IF(Form!V21="","",Form!V21)</f>
        <v/>
      </c>
      <c r="Y21" s="133" t="str">
        <f>IF(Form!W21="","",Form!W21)</f>
        <v/>
      </c>
      <c r="Z21" s="131" t="str">
        <f>IF(Form!X21="","",Form!X21)</f>
        <v/>
      </c>
    </row>
    <row r="22" spans="1:26" ht="17.850000000000001" customHeight="1" x14ac:dyDescent="0.15">
      <c r="A22" s="119">
        <v>18</v>
      </c>
      <c r="B22" s="139" t="s">
        <v>268</v>
      </c>
      <c r="C22" s="121">
        <f>Form!G21</f>
        <v>0</v>
      </c>
      <c r="D22" s="121">
        <f>Form!H21</f>
        <v>0</v>
      </c>
      <c r="E22" s="121">
        <f>Form!I21</f>
        <v>0</v>
      </c>
      <c r="F22" s="121"/>
      <c r="G22" s="121"/>
      <c r="H22" s="121">
        <f t="shared" si="2"/>
        <v>0</v>
      </c>
      <c r="I22" s="121">
        <f>Form!L21</f>
        <v>0</v>
      </c>
      <c r="J22" s="121"/>
      <c r="K22" s="121"/>
      <c r="L22" s="121"/>
      <c r="M22" s="121"/>
      <c r="N22" s="121"/>
      <c r="O22" s="121"/>
      <c r="P22" s="121"/>
      <c r="Q22" s="134"/>
      <c r="R22" s="134"/>
      <c r="S22" s="134">
        <f>Form!K21</f>
        <v>0</v>
      </c>
      <c r="T22" s="134">
        <f t="shared" si="0"/>
        <v>0</v>
      </c>
      <c r="U22" s="121">
        <f>Form!$U21</f>
        <v>0</v>
      </c>
      <c r="V22" s="136">
        <f t="shared" si="3"/>
        <v>0</v>
      </c>
      <c r="W22" s="126">
        <f t="shared" si="1"/>
        <v>0</v>
      </c>
      <c r="X22" s="130" t="str">
        <f>IF(Form!V20="","",Form!V18)</f>
        <v/>
      </c>
      <c r="Y22" s="133" t="str">
        <f>IF(Form!W20="","",Form!W18)</f>
        <v/>
      </c>
      <c r="Z22" s="131" t="str">
        <f>IF(Form!X20="","",Form!X18)</f>
        <v/>
      </c>
    </row>
    <row r="23" spans="1:26" ht="17.850000000000001" customHeight="1" x14ac:dyDescent="0.15">
      <c r="A23" s="119">
        <v>19</v>
      </c>
      <c r="B23" s="140" t="s">
        <v>327</v>
      </c>
      <c r="C23" s="121">
        <f>Form!G22</f>
        <v>0</v>
      </c>
      <c r="D23" s="121">
        <f>Form!H22</f>
        <v>0</v>
      </c>
      <c r="E23" s="121">
        <f>Form!I22</f>
        <v>0</v>
      </c>
      <c r="F23" s="121"/>
      <c r="G23" s="121"/>
      <c r="H23" s="121">
        <f t="shared" si="2"/>
        <v>0</v>
      </c>
      <c r="I23" s="121">
        <f>Form!L22</f>
        <v>0</v>
      </c>
      <c r="J23" s="121"/>
      <c r="K23" s="121"/>
      <c r="L23" s="121"/>
      <c r="M23" s="121"/>
      <c r="N23" s="121"/>
      <c r="O23" s="121"/>
      <c r="P23" s="121"/>
      <c r="Q23" s="134"/>
      <c r="R23" s="134"/>
      <c r="S23" s="134">
        <f>Form!K22</f>
        <v>0</v>
      </c>
      <c r="T23" s="134"/>
      <c r="U23" s="121">
        <f>Form!U22</f>
        <v>0</v>
      </c>
      <c r="V23" s="136">
        <f t="shared" si="3"/>
        <v>0</v>
      </c>
      <c r="W23" s="126">
        <f t="shared" si="1"/>
        <v>0</v>
      </c>
      <c r="X23" s="130"/>
      <c r="Y23" s="133"/>
      <c r="Z23" s="131"/>
    </row>
    <row r="24" spans="1:26" ht="17.850000000000001" customHeight="1" x14ac:dyDescent="0.15">
      <c r="A24" s="119">
        <v>20</v>
      </c>
      <c r="B24" s="140" t="s">
        <v>328</v>
      </c>
      <c r="C24" s="121">
        <f>Form!G23</f>
        <v>0</v>
      </c>
      <c r="D24" s="121">
        <f>Form!H23</f>
        <v>0</v>
      </c>
      <c r="E24" s="121">
        <f>Form!I23</f>
        <v>0</v>
      </c>
      <c r="F24" s="121"/>
      <c r="G24" s="121"/>
      <c r="H24" s="121">
        <f t="shared" si="2"/>
        <v>0</v>
      </c>
      <c r="I24" s="121">
        <f>Form!L23</f>
        <v>0</v>
      </c>
      <c r="J24" s="121"/>
      <c r="K24" s="121"/>
      <c r="L24" s="121"/>
      <c r="M24" s="121"/>
      <c r="N24" s="121"/>
      <c r="O24" s="121"/>
      <c r="P24" s="121"/>
      <c r="Q24" s="134"/>
      <c r="R24" s="134"/>
      <c r="S24" s="134">
        <f>Form!K23</f>
        <v>0</v>
      </c>
      <c r="T24" s="134"/>
      <c r="U24" s="121">
        <f>Form!U23</f>
        <v>0</v>
      </c>
      <c r="V24" s="136">
        <f t="shared" si="3"/>
        <v>0</v>
      </c>
      <c r="W24" s="126">
        <f t="shared" si="1"/>
        <v>0</v>
      </c>
      <c r="X24" s="130"/>
      <c r="Y24" s="133"/>
      <c r="Z24" s="131"/>
    </row>
    <row r="25" spans="1:26" ht="17.850000000000001" customHeight="1" x14ac:dyDescent="0.15">
      <c r="A25" s="119">
        <v>21</v>
      </c>
      <c r="B25" s="140" t="s">
        <v>329</v>
      </c>
      <c r="C25" s="121">
        <f>Form!G24</f>
        <v>0</v>
      </c>
      <c r="D25" s="121">
        <f>Form!H24</f>
        <v>0</v>
      </c>
      <c r="E25" s="121">
        <f>Form!I24</f>
        <v>0</v>
      </c>
      <c r="F25" s="121"/>
      <c r="G25" s="121"/>
      <c r="H25" s="121">
        <f t="shared" si="2"/>
        <v>0</v>
      </c>
      <c r="I25" s="121">
        <f>Form!L24</f>
        <v>0</v>
      </c>
      <c r="J25" s="121"/>
      <c r="K25" s="121"/>
      <c r="L25" s="121"/>
      <c r="M25" s="121"/>
      <c r="N25" s="121"/>
      <c r="O25" s="121"/>
      <c r="P25" s="121"/>
      <c r="Q25" s="134"/>
      <c r="R25" s="134"/>
      <c r="S25" s="134">
        <f>Form!K24</f>
        <v>0</v>
      </c>
      <c r="T25" s="134"/>
      <c r="U25" s="121">
        <f>Form!U24</f>
        <v>0</v>
      </c>
      <c r="V25" s="136">
        <f t="shared" si="3"/>
        <v>0</v>
      </c>
      <c r="W25" s="126">
        <f t="shared" si="1"/>
        <v>0</v>
      </c>
      <c r="X25" s="130"/>
      <c r="Y25" s="133"/>
      <c r="Z25" s="131"/>
    </row>
    <row r="26" spans="1:26" s="3" customFormat="1" ht="26.25" customHeight="1" x14ac:dyDescent="0.15">
      <c r="A26" s="307" t="s">
        <v>5</v>
      </c>
      <c r="B26" s="308"/>
      <c r="C26" s="122">
        <f>SUM(C5:C25)</f>
        <v>542000</v>
      </c>
      <c r="D26" s="122">
        <f t="shared" ref="D26:V26" si="4">SUM(D5:D25)</f>
        <v>67698</v>
      </c>
      <c r="E26" s="122">
        <f t="shared" si="4"/>
        <v>43360</v>
      </c>
      <c r="F26" s="122">
        <f t="shared" si="4"/>
        <v>0</v>
      </c>
      <c r="G26" s="122">
        <f t="shared" si="4"/>
        <v>0</v>
      </c>
      <c r="H26" s="148">
        <f t="shared" si="4"/>
        <v>653058</v>
      </c>
      <c r="I26" s="122">
        <f t="shared" si="4"/>
        <v>2658</v>
      </c>
      <c r="J26" s="122">
        <f t="shared" si="4"/>
        <v>0</v>
      </c>
      <c r="K26" s="122">
        <f t="shared" si="4"/>
        <v>36000</v>
      </c>
      <c r="L26" s="122">
        <f t="shared" si="4"/>
        <v>0</v>
      </c>
      <c r="M26" s="122">
        <f t="shared" si="4"/>
        <v>0</v>
      </c>
      <c r="N26" s="122">
        <f t="shared" si="4"/>
        <v>0</v>
      </c>
      <c r="O26" s="122">
        <f t="shared" si="4"/>
        <v>0</v>
      </c>
      <c r="P26" s="122">
        <f t="shared" si="4"/>
        <v>0</v>
      </c>
      <c r="Q26" s="122">
        <f t="shared" si="4"/>
        <v>220</v>
      </c>
      <c r="R26" s="122">
        <f t="shared" si="4"/>
        <v>9555</v>
      </c>
      <c r="S26" s="122">
        <f t="shared" si="4"/>
        <v>0</v>
      </c>
      <c r="T26" s="122">
        <f t="shared" si="4"/>
        <v>0</v>
      </c>
      <c r="U26" s="122">
        <f t="shared" si="4"/>
        <v>40000</v>
      </c>
      <c r="V26" s="122">
        <f t="shared" si="4"/>
        <v>88433</v>
      </c>
      <c r="W26" s="306">
        <f>SUM(W5:W25)</f>
        <v>564625</v>
      </c>
      <c r="X26" s="306"/>
      <c r="Y26" s="141"/>
      <c r="Z26" s="142"/>
    </row>
    <row r="27" spans="1:26" s="3" customFormat="1" ht="18.75" customHeight="1" x14ac:dyDescent="0.15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3"/>
    </row>
    <row r="28" spans="1:26" s="3" customFormat="1" ht="11.25" customHeight="1" x14ac:dyDescent="0.15">
      <c r="A28" s="310" t="str">
        <f>Form!B4</f>
        <v>X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09" t="str">
        <f>Form!B9</f>
        <v>RAJENDRA KUMAR GAGGAR</v>
      </c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</row>
    <row r="29" spans="1:26" s="2" customFormat="1" ht="10.5" customHeight="1" x14ac:dyDescent="0.2">
      <c r="A29" s="301" t="s">
        <v>332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0" t="s">
        <v>331</v>
      </c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</row>
  </sheetData>
  <sheetProtection password="E80B" sheet="1" objects="1" scenarios="1" selectLockedCells="1"/>
  <mergeCells count="18">
    <mergeCell ref="A1:Z1"/>
    <mergeCell ref="W3:W4"/>
    <mergeCell ref="X3:X4"/>
    <mergeCell ref="Y3:Y4"/>
    <mergeCell ref="Z3:Z4"/>
    <mergeCell ref="I3:V3"/>
    <mergeCell ref="K2:N2"/>
    <mergeCell ref="O2:P2"/>
    <mergeCell ref="N29:Z29"/>
    <mergeCell ref="A29:M29"/>
    <mergeCell ref="I2:J2"/>
    <mergeCell ref="C2:H2"/>
    <mergeCell ref="A3:H3"/>
    <mergeCell ref="W26:X26"/>
    <mergeCell ref="A26:B26"/>
    <mergeCell ref="N28:Z28"/>
    <mergeCell ref="A28:M28"/>
    <mergeCell ref="A27:Z27"/>
  </mergeCells>
  <phoneticPr fontId="0" type="noConversion"/>
  <printOptions gridLines="1"/>
  <pageMargins left="0.15748031496062992" right="0.15748031496062992" top="0.39370078740157483" bottom="0.31496062992125984" header="0.23622047244094491" footer="0"/>
  <pageSetup paperSize="9" orientation="landscape" horizontalDpi="180" verticalDpi="180" r:id="rId1"/>
  <headerFooter alignWithMargins="0">
    <oddFooter>&amp;C&amp;8Developed By Rajendra Gaggar Principal GSSS Raila Mob 9950979225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61"/>
  </sheetPr>
  <dimension ref="A1:N69"/>
  <sheetViews>
    <sheetView view="pageBreakPreview" zoomScaleSheetLayoutView="100" workbookViewId="0">
      <selection activeCell="I26" sqref="I26"/>
    </sheetView>
  </sheetViews>
  <sheetFormatPr defaultColWidth="9.16796875" defaultRowHeight="15" x14ac:dyDescent="0.2"/>
  <cols>
    <col min="1" max="1" width="2.828125" style="27" customWidth="1"/>
    <col min="2" max="2" width="3.234375" style="27" customWidth="1"/>
    <col min="3" max="3" width="3.50390625" style="27" customWidth="1"/>
    <col min="4" max="4" width="15.91015625" style="27" customWidth="1"/>
    <col min="5" max="5" width="3.234375" style="27" customWidth="1"/>
    <col min="6" max="6" width="11.0546875" style="27" customWidth="1"/>
    <col min="7" max="7" width="5.796875" style="27" customWidth="1"/>
    <col min="8" max="8" width="10.515625" style="27" customWidth="1"/>
    <col min="9" max="9" width="12.5390625" style="27" customWidth="1"/>
    <col min="10" max="10" width="4.58203125" style="27" customWidth="1"/>
    <col min="11" max="11" width="11.0546875" style="27" customWidth="1"/>
    <col min="12" max="12" width="2.6953125" style="27" customWidth="1"/>
    <col min="13" max="13" width="11.4609375" style="28" customWidth="1"/>
    <col min="14" max="14" width="9.16796875" style="27" customWidth="1"/>
    <col min="15" max="16384" width="9.16796875" style="27"/>
  </cols>
  <sheetData>
    <row r="1" spans="1:13" ht="14.25" customHeight="1" x14ac:dyDescent="0.15">
      <c r="A1" s="326" t="str">
        <f>"INCOME TAX CALCULATION FOR THE YEAR  "&amp;Form!C3&amp;Form!D3  &amp;"  (A.Y."&amp;(Form!C3+1)&amp;(Form!D3-1)&amp;")"</f>
        <v>INCOME TAX CALCULATION FOR THE YEAR  2019-2020  (A.Y.2020-2021)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2.95" customHeight="1" x14ac:dyDescent="0.2">
      <c r="A2" s="143">
        <v>1</v>
      </c>
      <c r="B2" s="331" t="s">
        <v>232</v>
      </c>
      <c r="C2" s="331"/>
      <c r="D2" s="331"/>
      <c r="E2" s="331"/>
      <c r="F2" s="329" t="str">
        <f>'Rep 1'!$C$2</f>
        <v>X</v>
      </c>
      <c r="G2" s="329"/>
      <c r="H2" s="329"/>
      <c r="I2" s="329"/>
      <c r="J2" s="329"/>
      <c r="K2" s="329"/>
      <c r="L2" s="144" t="s">
        <v>165</v>
      </c>
      <c r="M2" s="145" t="str">
        <f>Form!$B$8</f>
        <v>M</v>
      </c>
    </row>
    <row r="3" spans="1:13" ht="12.95" customHeight="1" x14ac:dyDescent="0.2">
      <c r="A3" s="143"/>
      <c r="B3" s="328" t="s">
        <v>233</v>
      </c>
      <c r="C3" s="328"/>
      <c r="D3" s="328"/>
      <c r="E3" s="328"/>
      <c r="F3" s="332" t="str">
        <f>Form!B5</f>
        <v>Y</v>
      </c>
      <c r="G3" s="332"/>
      <c r="H3" s="146" t="s">
        <v>322</v>
      </c>
      <c r="I3" s="147" t="str">
        <f>Form!D5</f>
        <v>Z</v>
      </c>
      <c r="J3" s="147" t="s">
        <v>320</v>
      </c>
      <c r="K3" s="343" t="str">
        <f>IF(Form!$B6="","",Form!$B6)</f>
        <v>ABCDE1234F</v>
      </c>
      <c r="L3" s="343" t="str">
        <f>IF(Form!$B6="","",Form!$B6)</f>
        <v>ABCDE1234F</v>
      </c>
      <c r="M3" s="343" t="str">
        <f>IF(Form!$B6="","",Form!$B6)</f>
        <v>ABCDE1234F</v>
      </c>
    </row>
    <row r="4" spans="1:13" ht="12.95" customHeight="1" x14ac:dyDescent="0.2">
      <c r="A4" s="143"/>
      <c r="B4" s="328" t="s">
        <v>23</v>
      </c>
      <c r="C4" s="328"/>
      <c r="D4" s="328"/>
      <c r="E4" s="328"/>
      <c r="F4" s="321" t="str">
        <f>Form!B7</f>
        <v>GOVT HIGHER SEC SCHOOL RAYLA</v>
      </c>
      <c r="G4" s="321"/>
      <c r="H4" s="321"/>
      <c r="I4" s="321"/>
      <c r="J4" s="148" t="s">
        <v>316</v>
      </c>
      <c r="K4" s="343" t="str">
        <f>IF(Form!$Y24="","",Form!$Y24)</f>
        <v>JDHH0599C</v>
      </c>
      <c r="L4" s="343" t="str">
        <f>IF(Form!$B7="","",Form!$B7)</f>
        <v>GOVT HIGHER SEC SCHOOL RAYLA</v>
      </c>
      <c r="M4" s="343" t="str">
        <f>IF(Form!$B7="","",Form!$B7)</f>
        <v>GOVT HIGHER SEC SCHOOL RAYLA</v>
      </c>
    </row>
    <row r="5" spans="1:13" ht="15.75" customHeight="1" x14ac:dyDescent="0.2">
      <c r="A5" s="143">
        <v>2</v>
      </c>
      <c r="B5" s="328" t="str">
        <f>"INCOME: Gross salary  with Govt's Contribution in NPS Year "&amp;Form!C3&amp;Form!D3</f>
        <v>INCOME: Gross salary  with Govt's Contribution in NPS Year 2019-2020</v>
      </c>
      <c r="C5" s="328"/>
      <c r="D5" s="328"/>
      <c r="E5" s="328"/>
      <c r="F5" s="328"/>
      <c r="G5" s="328"/>
      <c r="H5" s="328"/>
      <c r="I5" s="328"/>
      <c r="J5" s="328"/>
      <c r="K5" s="328"/>
      <c r="L5" s="143" t="s">
        <v>12</v>
      </c>
      <c r="M5" s="149">
        <f>'Rep 1'!$H$26+'Rep 1'!S26</f>
        <v>653058</v>
      </c>
    </row>
    <row r="6" spans="1:13" ht="12.95" customHeight="1" x14ac:dyDescent="0.2">
      <c r="A6" s="143">
        <v>3</v>
      </c>
      <c r="B6" s="328" t="s">
        <v>162</v>
      </c>
      <c r="C6" s="328"/>
      <c r="D6" s="328"/>
      <c r="E6" s="328"/>
      <c r="F6" s="328"/>
      <c r="G6" s="328"/>
      <c r="H6" s="328"/>
      <c r="I6" s="328"/>
      <c r="J6" s="328"/>
      <c r="K6" s="328"/>
      <c r="L6" s="143" t="s">
        <v>12</v>
      </c>
      <c r="M6" s="58">
        <f>HRA!$J$15</f>
        <v>0</v>
      </c>
    </row>
    <row r="7" spans="1:13" ht="12.95" customHeight="1" x14ac:dyDescent="0.2">
      <c r="A7" s="143">
        <v>4</v>
      </c>
      <c r="B7" s="328" t="s">
        <v>201</v>
      </c>
      <c r="C7" s="328"/>
      <c r="D7" s="328"/>
      <c r="E7" s="328"/>
      <c r="F7" s="328"/>
      <c r="G7" s="328"/>
      <c r="H7" s="328"/>
      <c r="I7" s="328"/>
      <c r="J7" s="328"/>
      <c r="K7" s="328"/>
      <c r="L7" s="143" t="s">
        <v>12</v>
      </c>
      <c r="M7" s="58">
        <f>M5-M6</f>
        <v>653058</v>
      </c>
    </row>
    <row r="8" spans="1:13" ht="12.95" customHeight="1" x14ac:dyDescent="0.2">
      <c r="A8" s="143">
        <v>5</v>
      </c>
      <c r="B8" s="328" t="s">
        <v>307</v>
      </c>
      <c r="C8" s="328"/>
      <c r="D8" s="328"/>
      <c r="E8" s="328"/>
      <c r="F8" s="328"/>
      <c r="G8" s="328"/>
      <c r="H8" s="328"/>
      <c r="I8" s="328"/>
      <c r="J8" s="150">
        <f>IF(M7&gt;50000,50000,M7)</f>
        <v>50000</v>
      </c>
      <c r="K8" s="150">
        <f>IF(J8&gt;50000,50000,J8)</f>
        <v>50000</v>
      </c>
      <c r="L8" s="143" t="s">
        <v>12</v>
      </c>
      <c r="M8" s="58">
        <f>K8</f>
        <v>50000</v>
      </c>
    </row>
    <row r="9" spans="1:13" ht="12.95" customHeight="1" x14ac:dyDescent="0.2">
      <c r="A9" s="143">
        <v>6</v>
      </c>
      <c r="B9" s="328" t="s">
        <v>308</v>
      </c>
      <c r="C9" s="328"/>
      <c r="D9" s="328"/>
      <c r="E9" s="328"/>
      <c r="F9" s="328"/>
      <c r="G9" s="328"/>
      <c r="H9" s="328"/>
      <c r="I9" s="328"/>
      <c r="J9" s="328"/>
      <c r="K9" s="328"/>
      <c r="L9" s="143" t="s">
        <v>12</v>
      </c>
      <c r="M9" s="58">
        <f>M7-M8</f>
        <v>603058</v>
      </c>
    </row>
    <row r="10" spans="1:13" ht="12.95" customHeight="1" x14ac:dyDescent="0.2">
      <c r="A10" s="143"/>
      <c r="B10" s="143" t="s">
        <v>37</v>
      </c>
      <c r="C10" s="328" t="s">
        <v>39</v>
      </c>
      <c r="D10" s="328"/>
      <c r="E10" s="328"/>
      <c r="F10" s="328"/>
      <c r="G10" s="328"/>
      <c r="H10" s="151">
        <f>Form!K16</f>
        <v>0</v>
      </c>
      <c r="I10" s="151"/>
      <c r="J10" s="151"/>
      <c r="K10" s="151"/>
      <c r="L10" s="143"/>
      <c r="M10" s="58"/>
    </row>
    <row r="11" spans="1:13" ht="12.95" customHeight="1" x14ac:dyDescent="0.2">
      <c r="A11" s="143">
        <v>7</v>
      </c>
      <c r="B11" s="143" t="s">
        <v>38</v>
      </c>
      <c r="C11" s="328" t="s">
        <v>40</v>
      </c>
      <c r="D11" s="328"/>
      <c r="E11" s="328"/>
      <c r="F11" s="328"/>
      <c r="G11" s="328"/>
      <c r="H11" s="151">
        <f>Form!K17</f>
        <v>0</v>
      </c>
      <c r="I11" s="336" t="s">
        <v>202</v>
      </c>
      <c r="J11" s="336"/>
      <c r="K11" s="143">
        <f>SUM(H10:H11)</f>
        <v>0</v>
      </c>
      <c r="L11" s="143" t="s">
        <v>12</v>
      </c>
      <c r="M11" s="58">
        <f>K11</f>
        <v>0</v>
      </c>
    </row>
    <row r="12" spans="1:13" ht="12.95" customHeight="1" x14ac:dyDescent="0.2">
      <c r="A12" s="143">
        <v>8</v>
      </c>
      <c r="B12" s="327" t="s">
        <v>291</v>
      </c>
      <c r="C12" s="327"/>
      <c r="D12" s="327"/>
      <c r="E12" s="327"/>
      <c r="F12" s="327"/>
      <c r="G12" s="327"/>
      <c r="H12" s="327"/>
      <c r="I12" s="327"/>
      <c r="J12" s="327"/>
      <c r="K12" s="327"/>
      <c r="L12" s="143" t="s">
        <v>12</v>
      </c>
      <c r="M12" s="58">
        <f>M9-M11</f>
        <v>603058</v>
      </c>
    </row>
    <row r="13" spans="1:13" ht="12.95" customHeight="1" x14ac:dyDescent="0.2">
      <c r="A13" s="143">
        <v>7</v>
      </c>
      <c r="B13" s="143" t="s">
        <v>13</v>
      </c>
      <c r="C13" s="328" t="s">
        <v>203</v>
      </c>
      <c r="D13" s="328"/>
      <c r="E13" s="328"/>
      <c r="F13" s="328"/>
      <c r="G13" s="328"/>
      <c r="H13" s="143">
        <f>Form!O24</f>
        <v>0</v>
      </c>
      <c r="I13" s="336" t="s">
        <v>41</v>
      </c>
      <c r="J13" s="336"/>
      <c r="K13" s="143">
        <f>Form!S24</f>
        <v>0</v>
      </c>
      <c r="L13" s="143"/>
      <c r="M13" s="58"/>
    </row>
    <row r="14" spans="1:13" ht="12.95" customHeight="1" x14ac:dyDescent="0.2">
      <c r="A14" s="143"/>
      <c r="B14" s="143" t="s">
        <v>14</v>
      </c>
      <c r="C14" s="336" t="s">
        <v>206</v>
      </c>
      <c r="D14" s="336"/>
      <c r="E14" s="152" t="s">
        <v>42</v>
      </c>
      <c r="F14" s="143"/>
      <c r="G14" s="143"/>
      <c r="H14" s="143" t="s">
        <v>43</v>
      </c>
      <c r="I14" s="143" t="s">
        <v>5</v>
      </c>
      <c r="J14" s="153"/>
      <c r="K14" s="143"/>
      <c r="L14" s="143"/>
      <c r="M14" s="58"/>
    </row>
    <row r="15" spans="1:13" ht="12.95" customHeight="1" x14ac:dyDescent="0.2">
      <c r="A15" s="143"/>
      <c r="B15" s="143"/>
      <c r="C15" s="348">
        <f>ROUND(K13*30%,0)</f>
        <v>0</v>
      </c>
      <c r="D15" s="348"/>
      <c r="E15" s="154">
        <f>'Rep 1'!$O$26+Form!D20</f>
        <v>0</v>
      </c>
      <c r="F15" s="330">
        <f>IF(E15&lt;200000,E15,200000)</f>
        <v>0</v>
      </c>
      <c r="G15" s="330"/>
      <c r="H15" s="143"/>
      <c r="I15" s="151">
        <f>SUM(C15,F15,H15)</f>
        <v>0</v>
      </c>
      <c r="J15" s="155" t="s">
        <v>204</v>
      </c>
      <c r="K15" s="155"/>
      <c r="L15" s="143" t="s">
        <v>12</v>
      </c>
      <c r="M15" s="58">
        <f>K13-I15</f>
        <v>0</v>
      </c>
    </row>
    <row r="16" spans="1:13" ht="12.95" customHeight="1" x14ac:dyDescent="0.2">
      <c r="A16" s="143">
        <v>8</v>
      </c>
      <c r="B16" s="334" t="s">
        <v>205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143" t="s">
        <v>12</v>
      </c>
      <c r="M16" s="58">
        <f>M12+M15</f>
        <v>603058</v>
      </c>
    </row>
    <row r="17" spans="1:13" ht="12.95" customHeight="1" x14ac:dyDescent="0.2">
      <c r="A17" s="143">
        <v>9</v>
      </c>
      <c r="B17" s="336" t="s">
        <v>163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156">
        <f>Form!R21</f>
        <v>0</v>
      </c>
    </row>
    <row r="18" spans="1:13" ht="12.95" customHeight="1" x14ac:dyDescent="0.2">
      <c r="A18" s="143">
        <v>10</v>
      </c>
      <c r="B18" s="335" t="s">
        <v>265</v>
      </c>
      <c r="C18" s="335"/>
      <c r="D18" s="335"/>
      <c r="E18" s="335"/>
      <c r="F18" s="335"/>
      <c r="G18" s="335"/>
      <c r="H18" s="335"/>
      <c r="I18" s="335"/>
      <c r="J18" s="335"/>
      <c r="K18" s="335"/>
      <c r="L18" s="143" t="s">
        <v>12</v>
      </c>
      <c r="M18" s="58">
        <f>M16+M17</f>
        <v>603058</v>
      </c>
    </row>
    <row r="19" spans="1:13" ht="12.95" customHeight="1" x14ac:dyDescent="0.2">
      <c r="A19" s="143">
        <v>11</v>
      </c>
      <c r="B19" s="336" t="s">
        <v>266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58"/>
    </row>
    <row r="20" spans="1:13" ht="12.95" customHeight="1" x14ac:dyDescent="0.2">
      <c r="A20" s="143"/>
      <c r="B20" s="341" t="s">
        <v>249</v>
      </c>
      <c r="C20" s="342" t="s">
        <v>267</v>
      </c>
      <c r="D20" s="342"/>
      <c r="E20" s="342"/>
      <c r="F20" s="342"/>
      <c r="G20" s="342"/>
      <c r="H20" s="342"/>
      <c r="I20" s="342"/>
      <c r="J20" s="342"/>
      <c r="K20" s="342"/>
      <c r="L20" s="157"/>
      <c r="M20" s="58"/>
    </row>
    <row r="21" spans="1:13" ht="12.95" customHeight="1" x14ac:dyDescent="0.2">
      <c r="A21" s="325"/>
      <c r="B21" s="341"/>
      <c r="C21" s="152" t="s">
        <v>37</v>
      </c>
      <c r="D21" s="158" t="s">
        <v>303</v>
      </c>
      <c r="E21" s="159" t="s">
        <v>12</v>
      </c>
      <c r="F21" s="152">
        <f>'Rep 1'!$I$26</f>
        <v>2658</v>
      </c>
      <c r="G21" s="158" t="s">
        <v>51</v>
      </c>
      <c r="H21" s="333" t="s">
        <v>55</v>
      </c>
      <c r="I21" s="333"/>
      <c r="J21" s="158" t="s">
        <v>12</v>
      </c>
      <c r="K21" s="152">
        <f>Form!$D13</f>
        <v>12000</v>
      </c>
      <c r="L21" s="143"/>
      <c r="M21" s="337">
        <f>IF(K28&gt;150000,150000,K28)</f>
        <v>54878</v>
      </c>
    </row>
    <row r="22" spans="1:13" ht="12.95" customHeight="1" x14ac:dyDescent="0.2">
      <c r="A22" s="325"/>
      <c r="B22" s="341"/>
      <c r="C22" s="152" t="s">
        <v>38</v>
      </c>
      <c r="D22" s="158" t="s">
        <v>273</v>
      </c>
      <c r="E22" s="159" t="s">
        <v>12</v>
      </c>
      <c r="F22" s="152">
        <f>'Rep 1'!$K$26</f>
        <v>36000</v>
      </c>
      <c r="G22" s="158" t="s">
        <v>52</v>
      </c>
      <c r="H22" s="333" t="s">
        <v>171</v>
      </c>
      <c r="I22" s="333"/>
      <c r="J22" s="158" t="s">
        <v>12</v>
      </c>
      <c r="K22" s="152">
        <f>Form!$D14</f>
        <v>0</v>
      </c>
      <c r="L22" s="143"/>
      <c r="M22" s="337"/>
    </row>
    <row r="23" spans="1:13" ht="12.95" customHeight="1" x14ac:dyDescent="0.2">
      <c r="A23" s="325"/>
      <c r="B23" s="341"/>
      <c r="C23" s="152" t="s">
        <v>44</v>
      </c>
      <c r="D23" s="158" t="s">
        <v>1</v>
      </c>
      <c r="E23" s="159" t="s">
        <v>12</v>
      </c>
      <c r="F23" s="152">
        <f>'Rep 1'!$P$26+Form!D19</f>
        <v>0</v>
      </c>
      <c r="G23" s="158" t="s">
        <v>53</v>
      </c>
      <c r="H23" s="333" t="s">
        <v>274</v>
      </c>
      <c r="I23" s="333"/>
      <c r="J23" s="158" t="s">
        <v>12</v>
      </c>
      <c r="K23" s="152">
        <f>Form!D15</f>
        <v>0</v>
      </c>
      <c r="L23" s="143"/>
      <c r="M23" s="337"/>
    </row>
    <row r="24" spans="1:13" ht="12.95" customHeight="1" x14ac:dyDescent="0.2">
      <c r="A24" s="325"/>
      <c r="B24" s="341"/>
      <c r="C24" s="152" t="s">
        <v>45</v>
      </c>
      <c r="D24" s="158" t="s">
        <v>234</v>
      </c>
      <c r="E24" s="159" t="s">
        <v>12</v>
      </c>
      <c r="F24" s="160">
        <f>Form!M21</f>
        <v>220</v>
      </c>
      <c r="G24" s="158" t="s">
        <v>54</v>
      </c>
      <c r="H24" s="333" t="s">
        <v>21</v>
      </c>
      <c r="I24" s="333"/>
      <c r="J24" s="158" t="s">
        <v>12</v>
      </c>
      <c r="K24" s="152">
        <f>Form!$D16</f>
        <v>0</v>
      </c>
      <c r="L24" s="143"/>
      <c r="M24" s="337"/>
    </row>
    <row r="25" spans="1:13" ht="12.95" customHeight="1" x14ac:dyDescent="0.2">
      <c r="A25" s="325"/>
      <c r="B25" s="341"/>
      <c r="C25" s="152" t="s">
        <v>46</v>
      </c>
      <c r="D25" s="158" t="s">
        <v>195</v>
      </c>
      <c r="E25" s="159" t="s">
        <v>12</v>
      </c>
      <c r="F25" s="152">
        <f>('Rep 1'!$N$26+Form!D21)</f>
        <v>0</v>
      </c>
      <c r="G25" s="158" t="s">
        <v>228</v>
      </c>
      <c r="H25" s="333" t="s">
        <v>172</v>
      </c>
      <c r="I25" s="333"/>
      <c r="J25" s="158" t="s">
        <v>12</v>
      </c>
      <c r="K25" s="152">
        <f>Form!$D17</f>
        <v>0</v>
      </c>
      <c r="L25" s="143"/>
      <c r="M25" s="337"/>
    </row>
    <row r="26" spans="1:13" ht="12.95" customHeight="1" x14ac:dyDescent="0.2">
      <c r="A26" s="325"/>
      <c r="B26" s="341"/>
      <c r="C26" s="152" t="s">
        <v>47</v>
      </c>
      <c r="D26" s="158" t="s">
        <v>20</v>
      </c>
      <c r="E26" s="159" t="s">
        <v>12</v>
      </c>
      <c r="F26" s="152">
        <f>Form!$D11</f>
        <v>4000</v>
      </c>
      <c r="G26" s="152" t="s">
        <v>222</v>
      </c>
      <c r="H26" s="161" t="s">
        <v>269</v>
      </c>
      <c r="I26" s="162"/>
      <c r="J26" s="158" t="s">
        <v>12</v>
      </c>
      <c r="K26" s="163">
        <f>Form!D22</f>
        <v>0</v>
      </c>
      <c r="L26" s="143"/>
      <c r="M26" s="337"/>
    </row>
    <row r="27" spans="1:13" ht="12.75" customHeight="1" x14ac:dyDescent="0.2">
      <c r="A27" s="325"/>
      <c r="B27" s="341"/>
      <c r="C27" s="152" t="s">
        <v>48</v>
      </c>
      <c r="D27" s="158" t="s">
        <v>2</v>
      </c>
      <c r="E27" s="159" t="s">
        <v>12</v>
      </c>
      <c r="F27" s="152">
        <f>Form!$D12</f>
        <v>0</v>
      </c>
      <c r="G27" s="152" t="s">
        <v>242</v>
      </c>
      <c r="H27" s="164" t="s">
        <v>223</v>
      </c>
      <c r="I27" s="164" t="str">
        <f>IF(Form!B23&gt;0,Form!B23,"")</f>
        <v/>
      </c>
      <c r="J27" s="158" t="s">
        <v>12</v>
      </c>
      <c r="K27" s="165">
        <f>Form!D23</f>
        <v>0</v>
      </c>
      <c r="L27" s="143"/>
      <c r="M27" s="337"/>
    </row>
    <row r="28" spans="1:13" ht="15.75" customHeight="1" x14ac:dyDescent="0.2">
      <c r="A28" s="325"/>
      <c r="B28" s="341"/>
      <c r="C28" s="152" t="s">
        <v>49</v>
      </c>
      <c r="D28" s="166" t="s">
        <v>272</v>
      </c>
      <c r="E28" s="159" t="s">
        <v>12</v>
      </c>
      <c r="F28" s="152">
        <f>Form!D18</f>
        <v>0</v>
      </c>
      <c r="G28" s="345" t="s">
        <v>314</v>
      </c>
      <c r="H28" s="345"/>
      <c r="I28" s="345"/>
      <c r="J28" s="158" t="s">
        <v>12</v>
      </c>
      <c r="K28" s="167">
        <f>SUM(F21:F29,K21:K27)</f>
        <v>54878</v>
      </c>
      <c r="L28" s="143"/>
      <c r="M28" s="337"/>
    </row>
    <row r="29" spans="1:13" x14ac:dyDescent="0.2">
      <c r="A29" s="325"/>
      <c r="B29" s="341"/>
      <c r="C29" s="152" t="s">
        <v>50</v>
      </c>
      <c r="D29" s="168" t="s">
        <v>292</v>
      </c>
      <c r="E29" s="130" t="s">
        <v>12</v>
      </c>
      <c r="F29" s="169">
        <f>'Rep 1'!$S$26</f>
        <v>0</v>
      </c>
      <c r="G29" s="345" t="s">
        <v>315</v>
      </c>
      <c r="H29" s="345"/>
      <c r="I29" s="345"/>
      <c r="J29" s="345"/>
      <c r="K29" s="345"/>
      <c r="L29" s="143" t="s">
        <v>12</v>
      </c>
      <c r="M29" s="337"/>
    </row>
    <row r="30" spans="1:13" ht="15" customHeight="1" x14ac:dyDescent="0.2">
      <c r="A30" s="143"/>
      <c r="B30" s="170" t="s">
        <v>250</v>
      </c>
      <c r="C30" s="349" t="s">
        <v>304</v>
      </c>
      <c r="D30" s="349"/>
      <c r="E30" s="349"/>
      <c r="F30" s="349"/>
      <c r="G30" s="349"/>
      <c r="H30" s="349"/>
      <c r="I30" s="349"/>
      <c r="J30" s="349"/>
      <c r="K30" s="349"/>
      <c r="L30" s="58"/>
      <c r="M30" s="121">
        <f>'Rep 1'!S26</f>
        <v>0</v>
      </c>
    </row>
    <row r="31" spans="1:13" ht="12.75" customHeight="1" x14ac:dyDescent="0.2">
      <c r="A31" s="143"/>
      <c r="B31" s="170" t="s">
        <v>251</v>
      </c>
      <c r="C31" s="339" t="s">
        <v>305</v>
      </c>
      <c r="D31" s="339"/>
      <c r="E31" s="339"/>
      <c r="F31" s="339"/>
      <c r="G31" s="339"/>
      <c r="H31" s="339"/>
      <c r="I31" s="339"/>
      <c r="J31" s="339"/>
      <c r="K31" s="339"/>
      <c r="L31" s="58"/>
      <c r="M31" s="121">
        <f>Form!D18</f>
        <v>0</v>
      </c>
    </row>
    <row r="32" spans="1:13" ht="12.95" customHeight="1" x14ac:dyDescent="0.15">
      <c r="A32" s="151"/>
      <c r="B32" s="169"/>
      <c r="C32" s="347" t="s">
        <v>224</v>
      </c>
      <c r="D32" s="347"/>
      <c r="E32" s="347"/>
      <c r="F32" s="347"/>
      <c r="G32" s="347"/>
      <c r="H32" s="347"/>
      <c r="I32" s="347"/>
      <c r="J32" s="347"/>
      <c r="K32" s="171" t="s">
        <v>187</v>
      </c>
      <c r="L32" s="172" t="s">
        <v>188</v>
      </c>
      <c r="M32" s="173"/>
    </row>
    <row r="33" spans="1:13" ht="12.95" customHeight="1" x14ac:dyDescent="0.2">
      <c r="A33" s="151">
        <v>12</v>
      </c>
      <c r="B33" s="155" t="s">
        <v>180</v>
      </c>
      <c r="C33" s="155"/>
      <c r="D33" s="155"/>
      <c r="E33" s="155"/>
      <c r="F33" s="155"/>
      <c r="G33" s="170"/>
      <c r="H33" s="170"/>
      <c r="I33" s="164" t="s">
        <v>173</v>
      </c>
      <c r="J33" s="158" t="s">
        <v>12</v>
      </c>
      <c r="K33" s="158">
        <f>Form!K26</f>
        <v>0</v>
      </c>
      <c r="L33" s="158" t="s">
        <v>12</v>
      </c>
      <c r="M33" s="174">
        <f>Form!L26</f>
        <v>0</v>
      </c>
    </row>
    <row r="34" spans="1:13" ht="12.95" customHeight="1" x14ac:dyDescent="0.2">
      <c r="A34" s="151">
        <v>13</v>
      </c>
      <c r="B34" s="155" t="s">
        <v>181</v>
      </c>
      <c r="C34" s="155"/>
      <c r="D34" s="155"/>
      <c r="E34" s="155"/>
      <c r="F34" s="155"/>
      <c r="G34" s="170"/>
      <c r="H34" s="170"/>
      <c r="I34" s="164" t="s">
        <v>174</v>
      </c>
      <c r="J34" s="158" t="s">
        <v>12</v>
      </c>
      <c r="K34" s="158">
        <f>Form!K27</f>
        <v>0</v>
      </c>
      <c r="L34" s="158" t="s">
        <v>12</v>
      </c>
      <c r="M34" s="174">
        <f>Form!L27</f>
        <v>0</v>
      </c>
    </row>
    <row r="35" spans="1:13" ht="12.95" customHeight="1" x14ac:dyDescent="0.2">
      <c r="A35" s="151">
        <v>14</v>
      </c>
      <c r="B35" s="166" t="s">
        <v>185</v>
      </c>
      <c r="C35" s="166"/>
      <c r="D35" s="166"/>
      <c r="E35" s="166"/>
      <c r="F35" s="166"/>
      <c r="G35" s="170"/>
      <c r="H35" s="170"/>
      <c r="I35" s="164" t="s">
        <v>175</v>
      </c>
      <c r="J35" s="158" t="s">
        <v>12</v>
      </c>
      <c r="K35" s="158">
        <f>Form!K28</f>
        <v>0</v>
      </c>
      <c r="L35" s="158" t="s">
        <v>12</v>
      </c>
      <c r="M35" s="174">
        <f>Form!L28</f>
        <v>0</v>
      </c>
    </row>
    <row r="36" spans="1:13" ht="12.95" customHeight="1" x14ac:dyDescent="0.2">
      <c r="A36" s="151">
        <v>15</v>
      </c>
      <c r="B36" s="155" t="s">
        <v>183</v>
      </c>
      <c r="C36" s="155"/>
      <c r="D36" s="155"/>
      <c r="E36" s="155"/>
      <c r="F36" s="155"/>
      <c r="G36" s="170"/>
      <c r="H36" s="170"/>
      <c r="I36" s="164" t="s">
        <v>176</v>
      </c>
      <c r="J36" s="158" t="s">
        <v>12</v>
      </c>
      <c r="K36" s="158">
        <f>Form!K29</f>
        <v>0</v>
      </c>
      <c r="L36" s="158" t="s">
        <v>12</v>
      </c>
      <c r="M36" s="174">
        <f>Form!L29</f>
        <v>0</v>
      </c>
    </row>
    <row r="37" spans="1:13" ht="12.95" customHeight="1" x14ac:dyDescent="0.2">
      <c r="A37" s="151">
        <v>16</v>
      </c>
      <c r="B37" s="155" t="s">
        <v>306</v>
      </c>
      <c r="C37" s="155"/>
      <c r="D37" s="155"/>
      <c r="E37" s="155"/>
      <c r="F37" s="155"/>
      <c r="G37" s="170"/>
      <c r="H37" s="170"/>
      <c r="I37" s="164" t="s">
        <v>177</v>
      </c>
      <c r="J37" s="158" t="s">
        <v>12</v>
      </c>
      <c r="K37" s="158">
        <f>Form!K30</f>
        <v>0</v>
      </c>
      <c r="L37" s="158" t="s">
        <v>12</v>
      </c>
      <c r="M37" s="174">
        <f>Form!L30</f>
        <v>0</v>
      </c>
    </row>
    <row r="38" spans="1:13" ht="12.95" customHeight="1" x14ac:dyDescent="0.2">
      <c r="A38" s="151">
        <v>17</v>
      </c>
      <c r="B38" s="155" t="s">
        <v>189</v>
      </c>
      <c r="C38" s="155"/>
      <c r="D38" s="155"/>
      <c r="E38" s="155"/>
      <c r="F38" s="155"/>
      <c r="G38" s="170"/>
      <c r="H38" s="170"/>
      <c r="I38" s="164" t="s">
        <v>178</v>
      </c>
      <c r="J38" s="158" t="s">
        <v>12</v>
      </c>
      <c r="K38" s="158">
        <f>Form!K31</f>
        <v>0</v>
      </c>
      <c r="L38" s="158" t="s">
        <v>12</v>
      </c>
      <c r="M38" s="174">
        <f>Form!L31</f>
        <v>0</v>
      </c>
    </row>
    <row r="39" spans="1:13" ht="12.95" customHeight="1" x14ac:dyDescent="0.2">
      <c r="A39" s="151">
        <v>18</v>
      </c>
      <c r="B39" s="155" t="s">
        <v>276</v>
      </c>
      <c r="C39" s="155"/>
      <c r="D39" s="155"/>
      <c r="E39" s="155"/>
      <c r="F39" s="155"/>
      <c r="G39" s="170"/>
      <c r="H39" s="170"/>
      <c r="I39" s="164" t="s">
        <v>275</v>
      </c>
      <c r="J39" s="158" t="s">
        <v>12</v>
      </c>
      <c r="K39" s="158">
        <f>Form!K32</f>
        <v>0</v>
      </c>
      <c r="L39" s="158" t="s">
        <v>12</v>
      </c>
      <c r="M39" s="174">
        <f>Form!L32</f>
        <v>0</v>
      </c>
    </row>
    <row r="40" spans="1:13" ht="12.95" customHeight="1" x14ac:dyDescent="0.2">
      <c r="A40" s="151">
        <v>19</v>
      </c>
      <c r="B40" s="155" t="s">
        <v>182</v>
      </c>
      <c r="C40" s="155"/>
      <c r="D40" s="155"/>
      <c r="E40" s="155"/>
      <c r="F40" s="155"/>
      <c r="G40" s="170"/>
      <c r="H40" s="170"/>
      <c r="I40" s="164" t="s">
        <v>179</v>
      </c>
      <c r="J40" s="158" t="s">
        <v>12</v>
      </c>
      <c r="K40" s="158">
        <f>Form!K33</f>
        <v>0</v>
      </c>
      <c r="L40" s="158" t="s">
        <v>12</v>
      </c>
      <c r="M40" s="174">
        <f>Form!L33</f>
        <v>0</v>
      </c>
    </row>
    <row r="41" spans="1:13" ht="12.95" customHeight="1" x14ac:dyDescent="0.2">
      <c r="A41" s="143">
        <v>20</v>
      </c>
      <c r="B41" s="340" t="s">
        <v>225</v>
      </c>
      <c r="C41" s="340"/>
      <c r="D41" s="340"/>
      <c r="E41" s="340"/>
      <c r="F41" s="340"/>
      <c r="G41" s="340"/>
      <c r="H41" s="340"/>
      <c r="I41" s="340"/>
      <c r="J41" s="340"/>
      <c r="K41" s="340"/>
      <c r="L41" s="158" t="s">
        <v>12</v>
      </c>
      <c r="M41" s="58">
        <f>SUM(M33:M40)</f>
        <v>0</v>
      </c>
    </row>
    <row r="42" spans="1:13" ht="12.95" customHeight="1" x14ac:dyDescent="0.2">
      <c r="A42" s="143"/>
      <c r="B42" s="338" t="s">
        <v>226</v>
      </c>
      <c r="C42" s="338"/>
      <c r="D42" s="338"/>
      <c r="E42" s="338"/>
      <c r="F42" s="338"/>
      <c r="G42" s="338"/>
      <c r="H42" s="338"/>
      <c r="I42" s="338"/>
      <c r="J42" s="338"/>
      <c r="K42" s="338"/>
      <c r="L42" s="158" t="s">
        <v>12</v>
      </c>
      <c r="M42" s="58">
        <f>M21+M30+M31+M41</f>
        <v>54878</v>
      </c>
    </row>
    <row r="43" spans="1:13" ht="12.95" customHeight="1" x14ac:dyDescent="0.2">
      <c r="A43" s="143">
        <v>21</v>
      </c>
      <c r="B43" s="335" t="s">
        <v>192</v>
      </c>
      <c r="C43" s="335"/>
      <c r="D43" s="335"/>
      <c r="E43" s="335"/>
      <c r="F43" s="335"/>
      <c r="G43" s="335"/>
      <c r="H43" s="335"/>
      <c r="I43" s="335"/>
      <c r="J43" s="335"/>
      <c r="K43" s="335"/>
      <c r="L43" s="158" t="s">
        <v>12</v>
      </c>
      <c r="M43" s="58">
        <f>M18-M42</f>
        <v>548180</v>
      </c>
    </row>
    <row r="44" spans="1:13" ht="12.95" customHeight="1" x14ac:dyDescent="0.2">
      <c r="A44" s="143"/>
      <c r="B44" s="335" t="s">
        <v>190</v>
      </c>
      <c r="C44" s="335"/>
      <c r="D44" s="335"/>
      <c r="E44" s="335"/>
      <c r="F44" s="335"/>
      <c r="G44" s="335"/>
      <c r="H44" s="335"/>
      <c r="I44" s="335"/>
      <c r="J44" s="335"/>
      <c r="K44" s="335"/>
      <c r="L44" s="158"/>
      <c r="M44" s="58">
        <f>ROUND(M43,-1)</f>
        <v>548180</v>
      </c>
    </row>
    <row r="45" spans="1:13" ht="12.95" customHeight="1" x14ac:dyDescent="0.2">
      <c r="A45" s="143">
        <v>22</v>
      </c>
      <c r="B45" s="330" t="s">
        <v>15</v>
      </c>
      <c r="C45" s="330"/>
      <c r="D45" s="330"/>
      <c r="E45" s="330"/>
      <c r="F45" s="330"/>
      <c r="G45" s="330"/>
      <c r="H45" s="330"/>
      <c r="I45" s="330"/>
      <c r="J45" s="330"/>
      <c r="K45" s="330"/>
      <c r="L45" s="143"/>
      <c r="M45" s="58"/>
    </row>
    <row r="46" spans="1:13" ht="12.95" customHeight="1" x14ac:dyDescent="0.2">
      <c r="A46" s="143"/>
      <c r="B46" s="152" t="s">
        <v>16</v>
      </c>
      <c r="C46" s="328" t="str">
        <f>"Where the total income does not exceed Rs."&amp;K46</f>
        <v>Where the total income does not exceed Rs.250000</v>
      </c>
      <c r="D46" s="328"/>
      <c r="E46" s="328"/>
      <c r="F46" s="328"/>
      <c r="G46" s="328"/>
      <c r="H46" s="328"/>
      <c r="I46" s="328"/>
      <c r="J46" s="328"/>
      <c r="K46" s="175">
        <f>IF(M2="M",250000,IF(M2="F",250000,"?????"))</f>
        <v>250000</v>
      </c>
      <c r="L46" s="143" t="s">
        <v>12</v>
      </c>
      <c r="M46" s="58">
        <v>0</v>
      </c>
    </row>
    <row r="47" spans="1:13" ht="12.95" customHeight="1" x14ac:dyDescent="0.2">
      <c r="A47" s="143"/>
      <c r="B47" s="152" t="s">
        <v>17</v>
      </c>
      <c r="C47" s="328" t="str">
        <f>"Where the total income  exceed Rs. "&amp;K46&amp;" but does not exceeds Rs. 500000 @ 5%"</f>
        <v>Where the total income  exceed Rs. 250000 but does not exceeds Rs. 500000 @ 5%</v>
      </c>
      <c r="D47" s="328"/>
      <c r="E47" s="328"/>
      <c r="F47" s="328"/>
      <c r="G47" s="328"/>
      <c r="H47" s="328"/>
      <c r="I47" s="328"/>
      <c r="J47" s="328"/>
      <c r="K47" s="328"/>
      <c r="L47" s="143" t="s">
        <v>12</v>
      </c>
      <c r="M47" s="58">
        <f>ROUND(IF(M2="M",IF(AND(M44&lt;=500000,(M44-250000)&gt;0),(M44-250000)*5%,IF(M44&gt;500000,12500,0)),IF(M2="F",IF(AND(M44&lt;=500000,(M44-250000)&gt;0),(M44-250000)*5%,IF(M44&gt;250000,12500,0)),"Insert Sex M or F")),0)</f>
        <v>12500</v>
      </c>
    </row>
    <row r="48" spans="1:13" ht="12.95" customHeight="1" x14ac:dyDescent="0.2">
      <c r="A48" s="143"/>
      <c r="B48" s="152" t="s">
        <v>18</v>
      </c>
      <c r="C48" s="328" t="s">
        <v>235</v>
      </c>
      <c r="D48" s="328"/>
      <c r="E48" s="328"/>
      <c r="F48" s="328"/>
      <c r="G48" s="328"/>
      <c r="H48" s="328"/>
      <c r="I48" s="328"/>
      <c r="J48" s="328"/>
      <c r="K48" s="328"/>
      <c r="L48" s="143" t="s">
        <v>12</v>
      </c>
      <c r="M48" s="58">
        <f>ROUND(IF(AND(M44&gt;=500000,M44&lt;=1000000),(M44-500000)*20%,IF(M44&gt;1000000,100000,0)),0)</f>
        <v>9636</v>
      </c>
    </row>
    <row r="49" spans="1:14" ht="12.95" customHeight="1" x14ac:dyDescent="0.2">
      <c r="A49" s="143"/>
      <c r="B49" s="152" t="s">
        <v>19</v>
      </c>
      <c r="C49" s="328" t="s">
        <v>263</v>
      </c>
      <c r="D49" s="328"/>
      <c r="E49" s="328"/>
      <c r="F49" s="328"/>
      <c r="G49" s="328"/>
      <c r="H49" s="328"/>
      <c r="I49" s="328"/>
      <c r="J49" s="328"/>
      <c r="K49" s="328"/>
      <c r="L49" s="143" t="s">
        <v>12</v>
      </c>
      <c r="M49" s="58">
        <f>IF(M44&gt;1000000,(M44-1000000)*30%,0)</f>
        <v>0</v>
      </c>
    </row>
    <row r="50" spans="1:14" ht="12.95" customHeight="1" x14ac:dyDescent="0.2">
      <c r="A50" s="143"/>
      <c r="B50" s="152" t="s">
        <v>46</v>
      </c>
      <c r="C50" s="151" t="s">
        <v>334</v>
      </c>
      <c r="D50" s="151"/>
      <c r="E50" s="151"/>
      <c r="F50" s="151"/>
      <c r="G50" s="151"/>
      <c r="H50" s="151"/>
      <c r="I50" s="176">
        <f>IF(M44&lt;=500000,M44,0)</f>
        <v>0</v>
      </c>
      <c r="J50" s="187"/>
      <c r="K50" s="177">
        <f>IF(I50&gt;=250000,I50,0)</f>
        <v>0</v>
      </c>
      <c r="L50" s="143" t="s">
        <v>12</v>
      </c>
      <c r="M50" s="58">
        <f>ROUND(IF(AND(K50&gt;=250000,K50&lt;=500000),(K50-250000)*5%,IF(K50&gt;250000,12500,0)),0)</f>
        <v>0</v>
      </c>
    </row>
    <row r="51" spans="1:14" ht="12.95" customHeight="1" x14ac:dyDescent="0.2">
      <c r="A51" s="143"/>
      <c r="B51" s="143" t="s">
        <v>0</v>
      </c>
      <c r="C51" s="335" t="s">
        <v>247</v>
      </c>
      <c r="D51" s="335"/>
      <c r="E51" s="335"/>
      <c r="F51" s="335"/>
      <c r="G51" s="335"/>
      <c r="H51" s="335"/>
      <c r="I51" s="335"/>
      <c r="J51" s="335"/>
      <c r="K51" s="335"/>
      <c r="L51" s="143" t="s">
        <v>12</v>
      </c>
      <c r="M51" s="58">
        <f>M46+M47+M48+M49-M50</f>
        <v>22136</v>
      </c>
    </row>
    <row r="52" spans="1:14" ht="12.95" customHeight="1" x14ac:dyDescent="0.2">
      <c r="A52" s="143"/>
      <c r="B52" s="143" t="s">
        <v>3</v>
      </c>
      <c r="C52" s="178" t="s">
        <v>164</v>
      </c>
      <c r="D52" s="178"/>
      <c r="E52" s="178"/>
      <c r="F52" s="178"/>
      <c r="G52" s="178"/>
      <c r="H52" s="178"/>
      <c r="I52" s="179">
        <f>M43</f>
        <v>548180</v>
      </c>
      <c r="J52" s="179"/>
      <c r="K52" s="179">
        <f>IF(I52&gt;1000000,I52,0)</f>
        <v>0</v>
      </c>
      <c r="L52" s="143" t="s">
        <v>12</v>
      </c>
      <c r="M52" s="58">
        <f>ROUND(N52*4%,0)</f>
        <v>0</v>
      </c>
    </row>
    <row r="53" spans="1:14" ht="12.95" customHeight="1" x14ac:dyDescent="0.2">
      <c r="A53" s="143"/>
      <c r="B53" s="143" t="s">
        <v>295</v>
      </c>
      <c r="C53" s="346" t="s">
        <v>294</v>
      </c>
      <c r="D53" s="346"/>
      <c r="E53" s="346"/>
      <c r="F53" s="346"/>
      <c r="G53" s="346"/>
      <c r="H53" s="346"/>
      <c r="I53" s="346"/>
      <c r="J53" s="346"/>
      <c r="K53" s="346"/>
      <c r="L53" s="143" t="s">
        <v>12</v>
      </c>
      <c r="M53" s="58">
        <f>ROUND((M51+M52)*4%,0)</f>
        <v>885</v>
      </c>
    </row>
    <row r="54" spans="1:14" ht="12.95" customHeight="1" x14ac:dyDescent="0.2">
      <c r="A54" s="143">
        <v>23</v>
      </c>
      <c r="B54" s="321" t="s">
        <v>227</v>
      </c>
      <c r="C54" s="321"/>
      <c r="D54" s="321"/>
      <c r="E54" s="321"/>
      <c r="F54" s="321"/>
      <c r="G54" s="321"/>
      <c r="H54" s="321"/>
      <c r="I54" s="321"/>
      <c r="J54" s="321"/>
      <c r="K54" s="321"/>
      <c r="L54" s="143" t="s">
        <v>12</v>
      </c>
      <c r="M54" s="58">
        <f>SUM(M51:M53)</f>
        <v>23021</v>
      </c>
    </row>
    <row r="55" spans="1:14" ht="12.95" customHeight="1" x14ac:dyDescent="0.2">
      <c r="A55" s="143">
        <v>24</v>
      </c>
      <c r="B55" s="321" t="s">
        <v>193</v>
      </c>
      <c r="C55" s="321"/>
      <c r="D55" s="321"/>
      <c r="E55" s="321"/>
      <c r="F55" s="321"/>
      <c r="G55" s="321"/>
      <c r="H55" s="321"/>
      <c r="I55" s="321"/>
      <c r="J55" s="321"/>
      <c r="K55" s="321"/>
      <c r="L55" s="143"/>
      <c r="M55" s="180">
        <f>Form!T21</f>
        <v>0</v>
      </c>
    </row>
    <row r="56" spans="1:14" ht="12.95" customHeight="1" x14ac:dyDescent="0.2">
      <c r="A56" s="143">
        <v>25</v>
      </c>
      <c r="B56" s="321" t="s">
        <v>194</v>
      </c>
      <c r="C56" s="321"/>
      <c r="D56" s="321"/>
      <c r="E56" s="321"/>
      <c r="F56" s="321"/>
      <c r="G56" s="321"/>
      <c r="H56" s="321"/>
      <c r="I56" s="321"/>
      <c r="J56" s="321"/>
      <c r="K56" s="321"/>
      <c r="L56" s="143"/>
      <c r="M56" s="58">
        <f>M54-M55</f>
        <v>23021</v>
      </c>
    </row>
    <row r="57" spans="1:14" ht="12.95" customHeight="1" x14ac:dyDescent="0.2">
      <c r="A57" s="143">
        <v>26</v>
      </c>
      <c r="B57" s="321" t="s">
        <v>230</v>
      </c>
      <c r="C57" s="321"/>
      <c r="D57" s="321"/>
      <c r="E57" s="321"/>
      <c r="F57" s="321"/>
      <c r="G57" s="321"/>
      <c r="H57" s="321"/>
      <c r="I57" s="321"/>
      <c r="J57" s="321"/>
      <c r="K57" s="321"/>
      <c r="L57" s="143"/>
      <c r="M57" s="58"/>
    </row>
    <row r="58" spans="1:14" ht="12.95" customHeight="1" x14ac:dyDescent="0.2">
      <c r="A58" s="143"/>
      <c r="B58" s="143"/>
      <c r="C58" s="151" t="str">
        <f>"Sept. "&amp;Form!C3</f>
        <v>Sept. 2019</v>
      </c>
      <c r="D58" s="151"/>
      <c r="E58" s="325" t="str">
        <f>" Dec. "&amp;Form!C3</f>
        <v xml:space="preserve"> Dec. 2019</v>
      </c>
      <c r="F58" s="325"/>
      <c r="G58" s="325" t="str">
        <f>" Jan."&amp;(Form!C3+1)</f>
        <v xml:space="preserve"> Jan.2020</v>
      </c>
      <c r="H58" s="325"/>
      <c r="I58" s="151" t="str">
        <f>" Feb. "&amp;(Form!C3+1)</f>
        <v xml:space="preserve"> Feb. 2020</v>
      </c>
      <c r="J58" s="325" t="s">
        <v>229</v>
      </c>
      <c r="K58" s="325"/>
      <c r="L58" s="151"/>
      <c r="M58" s="146"/>
      <c r="N58" s="33"/>
    </row>
    <row r="59" spans="1:14" ht="12.95" customHeight="1" x14ac:dyDescent="0.2">
      <c r="A59" s="143"/>
      <c r="B59" s="143"/>
      <c r="C59" s="324">
        <f>SUM('Rep 1'!$U$5:$U$11)</f>
        <v>28000</v>
      </c>
      <c r="D59" s="324"/>
      <c r="E59" s="324">
        <f>SUM('Rep 1'!$U$5:$U$14)+'Rep 1'!U21</f>
        <v>40000</v>
      </c>
      <c r="F59" s="324"/>
      <c r="G59" s="324">
        <f>SUM('Rep 1'!$U$5:$U$15)+'Rep 1'!U21+'Rep 1'!U22+'Rep 1'!U23+'Rep 1'!U24</f>
        <v>40000</v>
      </c>
      <c r="H59" s="324"/>
      <c r="I59" s="181">
        <f>SUM('Rep 1'!$U$5:$U$25)</f>
        <v>40000</v>
      </c>
      <c r="J59" s="322">
        <f>I59</f>
        <v>40000</v>
      </c>
      <c r="K59" s="323"/>
      <c r="L59" s="143" t="s">
        <v>12</v>
      </c>
      <c r="M59" s="182">
        <f>J59</f>
        <v>40000</v>
      </c>
    </row>
    <row r="60" spans="1:14" ht="12.95" customHeight="1" x14ac:dyDescent="0.2">
      <c r="A60" s="143">
        <v>27</v>
      </c>
      <c r="B60" s="320" t="s">
        <v>231</v>
      </c>
      <c r="C60" s="320"/>
      <c r="D60" s="320"/>
      <c r="E60" s="320"/>
      <c r="F60" s="320"/>
      <c r="G60" s="320"/>
      <c r="H60" s="320"/>
      <c r="I60" s="320"/>
      <c r="J60" s="320"/>
      <c r="K60" s="320"/>
      <c r="L60" s="143" t="s">
        <v>12</v>
      </c>
      <c r="M60" s="58">
        <f>M56-M59</f>
        <v>-16979</v>
      </c>
    </row>
    <row r="61" spans="1:14" ht="35.25" customHeight="1" x14ac:dyDescent="0.2">
      <c r="A61" s="344" t="s">
        <v>302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</row>
    <row r="62" spans="1:14" ht="13.5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M62" s="26"/>
    </row>
    <row r="63" spans="1:14" ht="13.5" x14ac:dyDescent="0.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1"/>
    </row>
    <row r="64" spans="1:14" ht="13.5" x14ac:dyDescent="0.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</row>
    <row r="65" spans="1:13" ht="13.5" x14ac:dyDescent="0.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</row>
    <row r="66" spans="1:13" ht="13.5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</row>
    <row r="67" spans="1:13" ht="13.5" x14ac:dyDescent="0.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</row>
    <row r="68" spans="1:13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2"/>
    </row>
    <row r="69" spans="1:13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2"/>
    </row>
  </sheetData>
  <sheetProtection password="E80B" sheet="1" objects="1" scenarios="1" selectLockedCells="1"/>
  <dataConsolidate/>
  <mergeCells count="65">
    <mergeCell ref="F4:I4"/>
    <mergeCell ref="K4:M4"/>
    <mergeCell ref="K3:M3"/>
    <mergeCell ref="A61:M61"/>
    <mergeCell ref="G28:I28"/>
    <mergeCell ref="G29:K29"/>
    <mergeCell ref="C49:K49"/>
    <mergeCell ref="B56:K56"/>
    <mergeCell ref="C47:K47"/>
    <mergeCell ref="C48:K48"/>
    <mergeCell ref="C53:K53"/>
    <mergeCell ref="C51:K51"/>
    <mergeCell ref="C32:J32"/>
    <mergeCell ref="C15:D15"/>
    <mergeCell ref="C46:J46"/>
    <mergeCell ref="C30:K30"/>
    <mergeCell ref="H25:I25"/>
    <mergeCell ref="I13:J13"/>
    <mergeCell ref="I11:J11"/>
    <mergeCell ref="M21:M29"/>
    <mergeCell ref="B45:K45"/>
    <mergeCell ref="B44:K44"/>
    <mergeCell ref="B19:L19"/>
    <mergeCell ref="B43:K43"/>
    <mergeCell ref="B42:K42"/>
    <mergeCell ref="C31:K31"/>
    <mergeCell ref="B41:K41"/>
    <mergeCell ref="B20:B29"/>
    <mergeCell ref="C20:K20"/>
    <mergeCell ref="B5:K5"/>
    <mergeCell ref="B6:K6"/>
    <mergeCell ref="C13:G13"/>
    <mergeCell ref="B16:K16"/>
    <mergeCell ref="B18:K18"/>
    <mergeCell ref="C14:D14"/>
    <mergeCell ref="C11:G11"/>
    <mergeCell ref="C10:G10"/>
    <mergeCell ref="B17:L17"/>
    <mergeCell ref="A1:M1"/>
    <mergeCell ref="A21:A29"/>
    <mergeCell ref="B12:K12"/>
    <mergeCell ref="B4:E4"/>
    <mergeCell ref="F2:K2"/>
    <mergeCell ref="B7:K7"/>
    <mergeCell ref="F15:G15"/>
    <mergeCell ref="B2:E2"/>
    <mergeCell ref="F3:G3"/>
    <mergeCell ref="H21:I21"/>
    <mergeCell ref="H22:I22"/>
    <mergeCell ref="H23:I23"/>
    <mergeCell ref="H24:I24"/>
    <mergeCell ref="B3:E3"/>
    <mergeCell ref="B8:I8"/>
    <mergeCell ref="B9:K9"/>
    <mergeCell ref="B60:K60"/>
    <mergeCell ref="B54:K54"/>
    <mergeCell ref="J59:K59"/>
    <mergeCell ref="B55:K55"/>
    <mergeCell ref="E59:F59"/>
    <mergeCell ref="C59:D59"/>
    <mergeCell ref="G59:H59"/>
    <mergeCell ref="G58:H58"/>
    <mergeCell ref="E58:F58"/>
    <mergeCell ref="J58:K58"/>
    <mergeCell ref="B57:K57"/>
  </mergeCells>
  <phoneticPr fontId="0" type="noConversion"/>
  <printOptions gridLines="1"/>
  <pageMargins left="0.41" right="0.22" top="0.19" bottom="0.16" header="0.18" footer="0"/>
  <pageSetup paperSize="9" scale="99" orientation="portrait" horizontalDpi="300" verticalDpi="300" r:id="rId1"/>
  <headerFooter alignWithMargins="0">
    <oddFooter>&amp;CDeveloped By Rajendra Gaggar Principal GSSS Raila Mob. 9950979225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indexed="29"/>
  </sheetPr>
  <dimension ref="A1:K20"/>
  <sheetViews>
    <sheetView view="pageBreakPreview" zoomScale="90" workbookViewId="0">
      <selection activeCell="H10" sqref="H10"/>
    </sheetView>
  </sheetViews>
  <sheetFormatPr defaultRowHeight="12.75" x14ac:dyDescent="0.15"/>
  <cols>
    <col min="1" max="1" width="6.47265625" customWidth="1"/>
    <col min="8" max="8" width="13.484375" bestFit="1" customWidth="1"/>
    <col min="10" max="10" width="11.32421875" customWidth="1"/>
  </cols>
  <sheetData>
    <row r="1" spans="1:11" ht="28.5" customHeight="1" x14ac:dyDescent="0.15">
      <c r="A1" s="352" t="s">
        <v>213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ht="17.25" x14ac:dyDescent="0.3">
      <c r="A2" s="35"/>
      <c r="B2" s="353" t="s">
        <v>169</v>
      </c>
      <c r="C2" s="353"/>
      <c r="D2" s="354" t="str">
        <f>'Rep 1'!$C$2</f>
        <v>X</v>
      </c>
      <c r="E2" s="354"/>
      <c r="F2" s="354"/>
      <c r="G2" s="354"/>
      <c r="H2" s="354"/>
      <c r="I2" s="354"/>
      <c r="J2" s="354"/>
    </row>
    <row r="3" spans="1:11" ht="17.25" x14ac:dyDescent="0.3">
      <c r="A3" s="35"/>
      <c r="B3" s="353" t="s">
        <v>22</v>
      </c>
      <c r="C3" s="353"/>
      <c r="D3" s="354">
        <f>'Rep 1'!M2</f>
        <v>0</v>
      </c>
      <c r="E3" s="354"/>
      <c r="F3" s="354"/>
      <c r="G3" s="354"/>
      <c r="H3" s="354"/>
      <c r="I3" s="354"/>
      <c r="J3" s="354"/>
      <c r="K3" s="2"/>
    </row>
    <row r="4" spans="1:11" ht="17.25" x14ac:dyDescent="0.3">
      <c r="A4" s="35"/>
      <c r="B4" s="353" t="s">
        <v>23</v>
      </c>
      <c r="C4" s="353"/>
      <c r="D4" s="354">
        <f>'Rep 1'!$R$2</f>
        <v>0</v>
      </c>
      <c r="E4" s="354"/>
      <c r="F4" s="354"/>
      <c r="G4" s="354"/>
      <c r="H4" s="354"/>
      <c r="I4" s="354"/>
      <c r="J4" s="354"/>
      <c r="K4" s="2"/>
    </row>
    <row r="5" spans="1:11" ht="17.25" x14ac:dyDescent="0.3">
      <c r="A5" s="35"/>
      <c r="B5" s="35"/>
      <c r="C5" s="36"/>
      <c r="D5" s="36"/>
      <c r="E5" s="36"/>
      <c r="F5" s="36"/>
      <c r="G5" s="36"/>
      <c r="H5" s="36"/>
      <c r="I5" s="36"/>
      <c r="J5" s="36"/>
      <c r="K5" s="2"/>
    </row>
    <row r="6" spans="1:11" ht="17.25" x14ac:dyDescent="0.3">
      <c r="A6" s="40">
        <v>1</v>
      </c>
      <c r="B6" s="353" t="s">
        <v>259</v>
      </c>
      <c r="C6" s="353"/>
      <c r="D6" s="353"/>
      <c r="E6" s="353"/>
      <c r="F6" s="353"/>
      <c r="G6" s="353"/>
      <c r="H6" s="353"/>
      <c r="I6" s="353"/>
      <c r="J6" s="37">
        <f>'Rep 1'!$E$26</f>
        <v>43360</v>
      </c>
      <c r="K6" s="2"/>
    </row>
    <row r="7" spans="1:11" ht="17.25" x14ac:dyDescent="0.3">
      <c r="A7" s="40"/>
      <c r="B7" s="36"/>
      <c r="C7" s="36"/>
      <c r="D7" s="36"/>
      <c r="E7" s="36"/>
      <c r="F7" s="36"/>
      <c r="G7" s="36"/>
      <c r="H7" s="36"/>
      <c r="I7" s="36"/>
      <c r="J7" s="36"/>
      <c r="K7" s="2"/>
    </row>
    <row r="8" spans="1:11" ht="17.25" x14ac:dyDescent="0.3">
      <c r="A8" s="40">
        <v>2</v>
      </c>
      <c r="B8" s="38" t="s">
        <v>260</v>
      </c>
      <c r="C8" s="38"/>
      <c r="D8" s="38"/>
      <c r="E8" s="38"/>
      <c r="F8" s="38"/>
      <c r="G8" s="38"/>
      <c r="H8" s="38"/>
      <c r="I8" s="38"/>
      <c r="J8" s="37">
        <f>H9*I9</f>
        <v>0</v>
      </c>
      <c r="K8" s="2"/>
    </row>
    <row r="9" spans="1:11" ht="17.25" x14ac:dyDescent="0.3">
      <c r="A9" s="40"/>
      <c r="B9" s="36" t="s">
        <v>261</v>
      </c>
      <c r="C9" s="36"/>
      <c r="D9" s="36"/>
      <c r="E9" s="36"/>
      <c r="F9" s="36"/>
      <c r="G9" s="36"/>
      <c r="H9" s="56">
        <f>Form!S21</f>
        <v>0</v>
      </c>
      <c r="I9" s="39">
        <v>12</v>
      </c>
      <c r="J9" s="35"/>
      <c r="K9" s="2"/>
    </row>
    <row r="10" spans="1:11" ht="17.25" x14ac:dyDescent="0.3">
      <c r="A10" s="40">
        <v>3</v>
      </c>
      <c r="B10" s="36" t="s">
        <v>262</v>
      </c>
      <c r="C10" s="36"/>
      <c r="D10" s="36"/>
      <c r="E10" s="36"/>
      <c r="F10" s="36"/>
      <c r="G10" s="36"/>
      <c r="H10" s="36"/>
      <c r="I10" s="36"/>
      <c r="J10" s="37">
        <f>ROUND(('Rep 1'!$C$26+'Rep 1'!D26)*10%,0)</f>
        <v>60970</v>
      </c>
      <c r="K10" s="2"/>
    </row>
    <row r="11" spans="1:11" ht="17.25" x14ac:dyDescent="0.3">
      <c r="A11" s="40"/>
      <c r="B11" s="36"/>
      <c r="C11" s="36"/>
      <c r="D11" s="36"/>
      <c r="E11" s="36"/>
      <c r="F11" s="36"/>
      <c r="G11" s="36"/>
      <c r="H11" s="36"/>
      <c r="I11" s="36"/>
      <c r="J11" s="36"/>
      <c r="K11" s="2"/>
    </row>
    <row r="12" spans="1:11" ht="17.25" x14ac:dyDescent="0.3">
      <c r="A12" s="40"/>
      <c r="B12" s="35"/>
      <c r="C12" s="36"/>
      <c r="D12" s="36"/>
      <c r="E12" s="36"/>
      <c r="F12" s="36"/>
      <c r="G12" s="36"/>
      <c r="H12" s="36"/>
      <c r="I12" s="36"/>
      <c r="J12" s="35"/>
      <c r="K12" s="2"/>
    </row>
    <row r="13" spans="1:11" ht="17.25" x14ac:dyDescent="0.3">
      <c r="A13" s="40">
        <v>4</v>
      </c>
      <c r="B13" s="351" t="s">
        <v>220</v>
      </c>
      <c r="C13" s="351"/>
      <c r="D13" s="351"/>
      <c r="E13" s="351"/>
      <c r="F13" s="351"/>
      <c r="G13" s="351"/>
      <c r="H13" s="351"/>
      <c r="I13" s="351"/>
      <c r="J13" s="37">
        <f>IF(J8&gt;J10,J8-J10,0)</f>
        <v>0</v>
      </c>
      <c r="K13" s="2"/>
    </row>
    <row r="14" spans="1:11" ht="17.25" x14ac:dyDescent="0.3">
      <c r="A14" s="40"/>
      <c r="B14" s="351"/>
      <c r="C14" s="351"/>
      <c r="D14" s="351"/>
      <c r="E14" s="351"/>
      <c r="F14" s="351"/>
      <c r="G14" s="351"/>
      <c r="H14" s="351"/>
      <c r="I14" s="351"/>
      <c r="J14" s="36"/>
      <c r="K14" s="2"/>
    </row>
    <row r="15" spans="1:11" ht="17.25" x14ac:dyDescent="0.3">
      <c r="A15" s="40">
        <v>5</v>
      </c>
      <c r="B15" s="350" t="s">
        <v>236</v>
      </c>
      <c r="C15" s="350"/>
      <c r="D15" s="350"/>
      <c r="E15" s="350"/>
      <c r="F15" s="350"/>
      <c r="G15" s="350"/>
      <c r="H15" s="350"/>
      <c r="I15" s="350"/>
      <c r="J15" s="36">
        <f>MIN(J6,J13)</f>
        <v>0</v>
      </c>
      <c r="K15" s="2"/>
    </row>
    <row r="16" spans="1:11" ht="17.25" x14ac:dyDescent="0.3">
      <c r="A16" s="35"/>
      <c r="B16" s="350"/>
      <c r="C16" s="350"/>
      <c r="D16" s="350"/>
      <c r="E16" s="350"/>
      <c r="F16" s="350"/>
      <c r="G16" s="350"/>
      <c r="H16" s="350"/>
      <c r="I16" s="350"/>
      <c r="J16" s="36"/>
      <c r="K16" s="2"/>
    </row>
    <row r="17" spans="1:11" ht="17.25" x14ac:dyDescent="0.3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"/>
    </row>
    <row r="18" spans="1:11" ht="17.25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1" ht="17.25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1" ht="17.25" x14ac:dyDescent="0.3">
      <c r="A20" s="35"/>
      <c r="C20" s="35"/>
      <c r="D20" s="35"/>
      <c r="E20" s="35"/>
      <c r="F20" s="35" t="s">
        <v>221</v>
      </c>
      <c r="G20" s="35"/>
      <c r="H20" s="35"/>
      <c r="I20" s="35"/>
      <c r="J20" s="35"/>
    </row>
  </sheetData>
  <sheetProtection selectLockedCells="1"/>
  <mergeCells count="10">
    <mergeCell ref="B15:I16"/>
    <mergeCell ref="B13:I14"/>
    <mergeCell ref="A1:J1"/>
    <mergeCell ref="B6:I6"/>
    <mergeCell ref="B2:C2"/>
    <mergeCell ref="B4:C4"/>
    <mergeCell ref="B3:C3"/>
    <mergeCell ref="D2:J2"/>
    <mergeCell ref="D3:J3"/>
    <mergeCell ref="D4:J4"/>
  </mergeCells>
  <phoneticPr fontId="1" type="noConversion"/>
  <pageMargins left="0.75" right="0.5" top="1" bottom="1" header="0.5" footer="0.5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33"/>
  </sheetPr>
  <dimension ref="A1:K102"/>
  <sheetViews>
    <sheetView workbookViewId="0">
      <selection activeCell="H16" sqref="H16"/>
    </sheetView>
  </sheetViews>
  <sheetFormatPr defaultColWidth="9.16796875" defaultRowHeight="15" x14ac:dyDescent="0.25"/>
  <cols>
    <col min="1" max="16384" width="9.16796875" style="4"/>
  </cols>
  <sheetData>
    <row r="1" spans="1:11" x14ac:dyDescent="0.25">
      <c r="J1" s="4">
        <v>0</v>
      </c>
      <c r="K1" s="5" t="s">
        <v>11</v>
      </c>
    </row>
    <row r="2" spans="1:11" x14ac:dyDescent="0.25">
      <c r="J2" s="4">
        <v>1</v>
      </c>
      <c r="K2" s="5" t="s">
        <v>62</v>
      </c>
    </row>
    <row r="3" spans="1:11" x14ac:dyDescent="0.25">
      <c r="J3" s="4">
        <v>2</v>
      </c>
      <c r="K3" s="5" t="s">
        <v>63</v>
      </c>
    </row>
    <row r="4" spans="1:11" x14ac:dyDescent="0.25">
      <c r="J4" s="4">
        <v>3</v>
      </c>
      <c r="K4" s="5" t="s">
        <v>64</v>
      </c>
    </row>
    <row r="5" spans="1:11" x14ac:dyDescent="0.25">
      <c r="J5" s="4">
        <v>4</v>
      </c>
      <c r="K5" s="5" t="s">
        <v>65</v>
      </c>
    </row>
    <row r="6" spans="1:11" x14ac:dyDescent="0.25">
      <c r="J6" s="4">
        <v>5</v>
      </c>
      <c r="K6" s="5" t="s">
        <v>66</v>
      </c>
    </row>
    <row r="7" spans="1:11" x14ac:dyDescent="0.25">
      <c r="J7" s="4">
        <v>6</v>
      </c>
      <c r="K7" s="5" t="s">
        <v>67</v>
      </c>
    </row>
    <row r="8" spans="1:11" x14ac:dyDescent="0.25">
      <c r="J8" s="4">
        <v>7</v>
      </c>
      <c r="K8" s="5" t="s">
        <v>68</v>
      </c>
    </row>
    <row r="9" spans="1:11" x14ac:dyDescent="0.25">
      <c r="J9" s="4">
        <v>8</v>
      </c>
      <c r="K9" s="5" t="s">
        <v>69</v>
      </c>
    </row>
    <row r="10" spans="1:11" x14ac:dyDescent="0.25">
      <c r="J10" s="4">
        <v>9</v>
      </c>
      <c r="K10" s="5" t="s">
        <v>70</v>
      </c>
    </row>
    <row r="11" spans="1:11" ht="15.75" thickBot="1" x14ac:dyDescent="0.3">
      <c r="J11" s="4">
        <v>10</v>
      </c>
      <c r="K11" s="5" t="s">
        <v>71</v>
      </c>
    </row>
    <row r="12" spans="1:11" ht="15.75" thickBot="1" x14ac:dyDescent="0.3">
      <c r="A12" s="6" t="e">
        <f>#REF!</f>
        <v>#REF!</v>
      </c>
      <c r="B12" s="7" t="s">
        <v>6</v>
      </c>
      <c r="C12" s="8"/>
      <c r="D12" s="8"/>
      <c r="E12" s="8"/>
      <c r="F12" s="8"/>
      <c r="G12" s="8"/>
      <c r="H12" s="9"/>
      <c r="J12" s="4">
        <v>11</v>
      </c>
      <c r="K12" s="5" t="s">
        <v>72</v>
      </c>
    </row>
    <row r="13" spans="1:11" x14ac:dyDescent="0.25">
      <c r="A13" s="10"/>
      <c r="B13" s="11" t="s">
        <v>7</v>
      </c>
      <c r="C13" s="12" t="s">
        <v>8</v>
      </c>
      <c r="D13" s="12" t="s">
        <v>9</v>
      </c>
      <c r="E13" s="13" t="s">
        <v>10</v>
      </c>
      <c r="F13" s="13"/>
      <c r="G13" s="13"/>
      <c r="H13" s="14"/>
      <c r="J13" s="4">
        <v>12</v>
      </c>
      <c r="K13" s="5" t="s">
        <v>73</v>
      </c>
    </row>
    <row r="14" spans="1:11" x14ac:dyDescent="0.25">
      <c r="A14" s="10"/>
      <c r="B14" s="11"/>
      <c r="C14" s="12"/>
      <c r="D14" s="12"/>
      <c r="E14" s="13"/>
      <c r="F14" s="13"/>
      <c r="G14" s="13"/>
      <c r="H14" s="14"/>
      <c r="K14" s="5"/>
    </row>
    <row r="15" spans="1:11" x14ac:dyDescent="0.25">
      <c r="A15" s="15"/>
      <c r="B15" s="12" t="e">
        <f>INT(A12/100000)</f>
        <v>#REF!</v>
      </c>
      <c r="C15" s="12" t="e">
        <f>INT(A12/1000)-B15*100</f>
        <v>#REF!</v>
      </c>
      <c r="D15" s="12" t="e">
        <f>INT(A12/100)-B15*1000-C15*10</f>
        <v>#REF!</v>
      </c>
      <c r="E15" s="12" t="e">
        <f>INT(A12)-B15*100000-C15*1000-D15*100</f>
        <v>#REF!</v>
      </c>
      <c r="F15" s="16"/>
      <c r="G15" s="16"/>
      <c r="H15" s="17"/>
      <c r="J15" s="4">
        <v>13</v>
      </c>
      <c r="K15" s="5" t="s">
        <v>74</v>
      </c>
    </row>
    <row r="16" spans="1:11" x14ac:dyDescent="0.25">
      <c r="A16" s="18" t="e">
        <f>LOOKUP(B15,J1:K101)</f>
        <v>#REF!</v>
      </c>
      <c r="B16" s="11" t="e">
        <f>IF(B15&lt;1,"","lakh")</f>
        <v>#REF!</v>
      </c>
      <c r="C16" s="19" t="e">
        <f>LOOKUP(C15,J1:K101)</f>
        <v>#REF!</v>
      </c>
      <c r="D16" s="11" t="e">
        <f>IF(C15&gt;=1,"thousand",IF(AND(B15&gt;=1,D15&gt;=1)," ",IF(AND(B15&gt;=1,E15&gt;=0)," ",IF(AND(B15&gt;=1,C15=0),"only)"," "))))</f>
        <v>#REF!</v>
      </c>
      <c r="E16" s="12" t="e">
        <f>LOOKUP(D15,J1:K101)</f>
        <v>#REF!</v>
      </c>
      <c r="F16" s="11" t="e">
        <f>IF(D15&gt;=1,"hundred",IF(AND(C15&gt;=1,E15&gt;=1)," ",IF(AND(C15&gt;=1,D15=0),"only)"," ")))</f>
        <v>#REF!</v>
      </c>
      <c r="G16" s="12" t="e">
        <f>LOOKUP(E15,J1:K101)</f>
        <v>#REF!</v>
      </c>
      <c r="H16" s="14" t="e">
        <f>IF(D16="only)"," ",IF(F16="only)"," ","only)"))</f>
        <v>#REF!</v>
      </c>
      <c r="J16" s="4">
        <v>14</v>
      </c>
      <c r="K16" s="5" t="s">
        <v>75</v>
      </c>
    </row>
    <row r="17" spans="1:11" ht="15.75" thickBot="1" x14ac:dyDescent="0.3">
      <c r="A17" s="20"/>
      <c r="B17" s="21"/>
      <c r="C17" s="21"/>
      <c r="D17" s="21"/>
      <c r="E17" s="21"/>
      <c r="F17" s="21"/>
      <c r="G17" s="21"/>
      <c r="H17" s="22"/>
      <c r="J17" s="4">
        <v>15</v>
      </c>
      <c r="K17" s="5" t="s">
        <v>76</v>
      </c>
    </row>
    <row r="18" spans="1:11" x14ac:dyDescent="0.25">
      <c r="J18" s="4">
        <v>16</v>
      </c>
      <c r="K18" s="5" t="s">
        <v>77</v>
      </c>
    </row>
    <row r="19" spans="1:11" x14ac:dyDescent="0.25">
      <c r="J19" s="4">
        <v>17</v>
      </c>
      <c r="K19" s="5" t="s">
        <v>78</v>
      </c>
    </row>
    <row r="20" spans="1:11" x14ac:dyDescent="0.25">
      <c r="A20" s="11"/>
      <c r="B20" s="23"/>
      <c r="C20" s="11"/>
      <c r="D20" s="11"/>
      <c r="E20" s="11"/>
      <c r="F20" s="11"/>
      <c r="G20" s="11"/>
      <c r="H20" s="11"/>
      <c r="I20" s="11"/>
      <c r="J20" s="4">
        <v>18</v>
      </c>
      <c r="K20" s="5" t="s">
        <v>79</v>
      </c>
    </row>
    <row r="21" spans="1:1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4">
        <v>19</v>
      </c>
      <c r="K21" s="5" t="s">
        <v>80</v>
      </c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4">
        <v>20</v>
      </c>
      <c r="K22" s="5" t="s">
        <v>81</v>
      </c>
    </row>
    <row r="23" spans="1:11" x14ac:dyDescent="0.25">
      <c r="A23" s="11"/>
      <c r="B23" s="24"/>
      <c r="C23" s="24"/>
      <c r="D23" s="24"/>
      <c r="E23" s="24"/>
      <c r="F23" s="24"/>
      <c r="G23" s="24"/>
      <c r="H23" s="24"/>
      <c r="I23" s="11"/>
      <c r="J23" s="4">
        <v>21</v>
      </c>
      <c r="K23" s="5" t="s">
        <v>82</v>
      </c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11"/>
      <c r="J24" s="4">
        <v>22</v>
      </c>
      <c r="K24" s="5" t="s">
        <v>83</v>
      </c>
    </row>
    <row r="25" spans="1:11" x14ac:dyDescent="0.25">
      <c r="J25" s="4">
        <v>23</v>
      </c>
      <c r="K25" s="5" t="s">
        <v>84</v>
      </c>
    </row>
    <row r="26" spans="1:11" x14ac:dyDescent="0.25">
      <c r="J26" s="4">
        <v>24</v>
      </c>
      <c r="K26" s="5" t="s">
        <v>85</v>
      </c>
    </row>
    <row r="27" spans="1:11" x14ac:dyDescent="0.25">
      <c r="J27" s="4">
        <v>25</v>
      </c>
      <c r="K27" s="5" t="s">
        <v>86</v>
      </c>
    </row>
    <row r="28" spans="1:11" x14ac:dyDescent="0.25">
      <c r="J28" s="4">
        <v>26</v>
      </c>
      <c r="K28" s="5" t="s">
        <v>87</v>
      </c>
    </row>
    <row r="29" spans="1:11" x14ac:dyDescent="0.25">
      <c r="J29" s="4">
        <v>27</v>
      </c>
      <c r="K29" s="5" t="s">
        <v>88</v>
      </c>
    </row>
    <row r="30" spans="1:11" x14ac:dyDescent="0.25">
      <c r="J30" s="4">
        <v>28</v>
      </c>
      <c r="K30" s="5" t="s">
        <v>89</v>
      </c>
    </row>
    <row r="31" spans="1:11" x14ac:dyDescent="0.25">
      <c r="J31" s="4">
        <v>29</v>
      </c>
      <c r="K31" s="5" t="s">
        <v>90</v>
      </c>
    </row>
    <row r="32" spans="1:11" x14ac:dyDescent="0.25">
      <c r="J32" s="4">
        <v>30</v>
      </c>
      <c r="K32" s="5" t="s">
        <v>91</v>
      </c>
    </row>
    <row r="33" spans="10:11" x14ac:dyDescent="0.25">
      <c r="J33" s="4">
        <v>31</v>
      </c>
      <c r="K33" s="5" t="s">
        <v>92</v>
      </c>
    </row>
    <row r="34" spans="10:11" x14ac:dyDescent="0.25">
      <c r="J34" s="4">
        <v>32</v>
      </c>
      <c r="K34" s="5" t="s">
        <v>93</v>
      </c>
    </row>
    <row r="35" spans="10:11" x14ac:dyDescent="0.25">
      <c r="J35" s="4">
        <v>33</v>
      </c>
      <c r="K35" s="5" t="s">
        <v>94</v>
      </c>
    </row>
    <row r="36" spans="10:11" x14ac:dyDescent="0.25">
      <c r="J36" s="4">
        <v>34</v>
      </c>
      <c r="K36" s="5" t="s">
        <v>95</v>
      </c>
    </row>
    <row r="37" spans="10:11" x14ac:dyDescent="0.25">
      <c r="J37" s="4">
        <v>35</v>
      </c>
      <c r="K37" s="5" t="s">
        <v>96</v>
      </c>
    </row>
    <row r="38" spans="10:11" x14ac:dyDescent="0.25">
      <c r="J38" s="4">
        <v>36</v>
      </c>
      <c r="K38" s="5" t="s">
        <v>97</v>
      </c>
    </row>
    <row r="39" spans="10:11" x14ac:dyDescent="0.25">
      <c r="J39" s="4">
        <v>37</v>
      </c>
      <c r="K39" s="5" t="s">
        <v>98</v>
      </c>
    </row>
    <row r="40" spans="10:11" x14ac:dyDescent="0.25">
      <c r="J40" s="4">
        <v>38</v>
      </c>
      <c r="K40" s="5" t="s">
        <v>99</v>
      </c>
    </row>
    <row r="41" spans="10:11" x14ac:dyDescent="0.25">
      <c r="J41" s="4">
        <v>39</v>
      </c>
      <c r="K41" s="5" t="s">
        <v>100</v>
      </c>
    </row>
    <row r="42" spans="10:11" x14ac:dyDescent="0.25">
      <c r="J42" s="4">
        <v>40</v>
      </c>
      <c r="K42" s="5" t="s">
        <v>101</v>
      </c>
    </row>
    <row r="43" spans="10:11" x14ac:dyDescent="0.25">
      <c r="J43" s="4">
        <v>41</v>
      </c>
      <c r="K43" s="5" t="s">
        <v>102</v>
      </c>
    </row>
    <row r="44" spans="10:11" x14ac:dyDescent="0.25">
      <c r="J44" s="4">
        <v>42</v>
      </c>
      <c r="K44" s="5" t="s">
        <v>103</v>
      </c>
    </row>
    <row r="45" spans="10:11" x14ac:dyDescent="0.25">
      <c r="J45" s="4">
        <v>43</v>
      </c>
      <c r="K45" s="5" t="s">
        <v>104</v>
      </c>
    </row>
    <row r="46" spans="10:11" x14ac:dyDescent="0.25">
      <c r="J46" s="4">
        <v>44</v>
      </c>
      <c r="K46" s="5" t="s">
        <v>105</v>
      </c>
    </row>
    <row r="47" spans="10:11" x14ac:dyDescent="0.25">
      <c r="J47" s="4">
        <v>45</v>
      </c>
      <c r="K47" s="5" t="s">
        <v>106</v>
      </c>
    </row>
    <row r="48" spans="10:11" x14ac:dyDescent="0.25">
      <c r="J48" s="4">
        <v>46</v>
      </c>
      <c r="K48" s="5" t="s">
        <v>107</v>
      </c>
    </row>
    <row r="49" spans="10:11" x14ac:dyDescent="0.25">
      <c r="J49" s="4">
        <v>47</v>
      </c>
      <c r="K49" s="5" t="s">
        <v>108</v>
      </c>
    </row>
    <row r="50" spans="10:11" x14ac:dyDescent="0.25">
      <c r="J50" s="4">
        <v>48</v>
      </c>
      <c r="K50" s="5" t="s">
        <v>109</v>
      </c>
    </row>
    <row r="51" spans="10:11" x14ac:dyDescent="0.25">
      <c r="J51" s="4">
        <v>49</v>
      </c>
      <c r="K51" s="5" t="s">
        <v>110</v>
      </c>
    </row>
    <row r="52" spans="10:11" x14ac:dyDescent="0.25">
      <c r="J52" s="4">
        <v>50</v>
      </c>
      <c r="K52" s="5" t="s">
        <v>111</v>
      </c>
    </row>
    <row r="53" spans="10:11" x14ac:dyDescent="0.25">
      <c r="J53" s="4">
        <v>51</v>
      </c>
      <c r="K53" s="5" t="s">
        <v>112</v>
      </c>
    </row>
    <row r="54" spans="10:11" x14ac:dyDescent="0.25">
      <c r="J54" s="4">
        <v>52</v>
      </c>
      <c r="K54" s="5" t="s">
        <v>113</v>
      </c>
    </row>
    <row r="55" spans="10:11" x14ac:dyDescent="0.25">
      <c r="J55" s="4">
        <v>53</v>
      </c>
      <c r="K55" s="5" t="s">
        <v>114</v>
      </c>
    </row>
    <row r="56" spans="10:11" x14ac:dyDescent="0.25">
      <c r="J56" s="4">
        <v>54</v>
      </c>
      <c r="K56" s="5" t="s">
        <v>115</v>
      </c>
    </row>
    <row r="57" spans="10:11" x14ac:dyDescent="0.25">
      <c r="J57" s="4">
        <v>55</v>
      </c>
      <c r="K57" s="5" t="s">
        <v>116</v>
      </c>
    </row>
    <row r="58" spans="10:11" x14ac:dyDescent="0.25">
      <c r="J58" s="4">
        <v>56</v>
      </c>
      <c r="K58" s="5" t="s">
        <v>117</v>
      </c>
    </row>
    <row r="59" spans="10:11" x14ac:dyDescent="0.25">
      <c r="J59" s="4">
        <v>57</v>
      </c>
      <c r="K59" s="5" t="s">
        <v>118</v>
      </c>
    </row>
    <row r="60" spans="10:11" x14ac:dyDescent="0.25">
      <c r="J60" s="4">
        <v>58</v>
      </c>
      <c r="K60" s="5" t="s">
        <v>119</v>
      </c>
    </row>
    <row r="61" spans="10:11" x14ac:dyDescent="0.25">
      <c r="J61" s="4">
        <v>59</v>
      </c>
      <c r="K61" s="5" t="s">
        <v>120</v>
      </c>
    </row>
    <row r="62" spans="10:11" x14ac:dyDescent="0.25">
      <c r="J62" s="4">
        <v>60</v>
      </c>
      <c r="K62" s="5" t="s">
        <v>121</v>
      </c>
    </row>
    <row r="63" spans="10:11" x14ac:dyDescent="0.25">
      <c r="J63" s="4">
        <v>61</v>
      </c>
      <c r="K63" s="5" t="s">
        <v>122</v>
      </c>
    </row>
    <row r="64" spans="10:11" x14ac:dyDescent="0.25">
      <c r="J64" s="4">
        <v>62</v>
      </c>
      <c r="K64" s="5" t="s">
        <v>123</v>
      </c>
    </row>
    <row r="65" spans="10:11" x14ac:dyDescent="0.25">
      <c r="J65" s="4">
        <v>63</v>
      </c>
      <c r="K65" s="5" t="s">
        <v>124</v>
      </c>
    </row>
    <row r="66" spans="10:11" x14ac:dyDescent="0.25">
      <c r="J66" s="4">
        <v>64</v>
      </c>
      <c r="K66" s="5" t="s">
        <v>125</v>
      </c>
    </row>
    <row r="67" spans="10:11" x14ac:dyDescent="0.25">
      <c r="J67" s="4">
        <v>65</v>
      </c>
      <c r="K67" s="5" t="s">
        <v>126</v>
      </c>
    </row>
    <row r="68" spans="10:11" x14ac:dyDescent="0.25">
      <c r="J68" s="4">
        <v>66</v>
      </c>
      <c r="K68" s="5" t="s">
        <v>127</v>
      </c>
    </row>
    <row r="69" spans="10:11" x14ac:dyDescent="0.25">
      <c r="J69" s="4">
        <v>67</v>
      </c>
      <c r="K69" s="5" t="s">
        <v>128</v>
      </c>
    </row>
    <row r="70" spans="10:11" x14ac:dyDescent="0.25">
      <c r="J70" s="4">
        <v>68</v>
      </c>
      <c r="K70" s="5" t="s">
        <v>129</v>
      </c>
    </row>
    <row r="71" spans="10:11" x14ac:dyDescent="0.25">
      <c r="J71" s="4">
        <v>69</v>
      </c>
      <c r="K71" s="5" t="s">
        <v>130</v>
      </c>
    </row>
    <row r="72" spans="10:11" x14ac:dyDescent="0.25">
      <c r="J72" s="4">
        <v>70</v>
      </c>
      <c r="K72" s="5" t="s">
        <v>131</v>
      </c>
    </row>
    <row r="73" spans="10:11" x14ac:dyDescent="0.25">
      <c r="J73" s="4">
        <v>71</v>
      </c>
      <c r="K73" s="5" t="s">
        <v>132</v>
      </c>
    </row>
    <row r="74" spans="10:11" x14ac:dyDescent="0.25">
      <c r="J74" s="4">
        <v>72</v>
      </c>
      <c r="K74" s="5" t="s">
        <v>133</v>
      </c>
    </row>
    <row r="75" spans="10:11" x14ac:dyDescent="0.25">
      <c r="J75" s="4">
        <v>73</v>
      </c>
      <c r="K75" s="5" t="s">
        <v>134</v>
      </c>
    </row>
    <row r="76" spans="10:11" x14ac:dyDescent="0.25">
      <c r="J76" s="4">
        <v>74</v>
      </c>
      <c r="K76" s="5" t="s">
        <v>135</v>
      </c>
    </row>
    <row r="77" spans="10:11" x14ac:dyDescent="0.25">
      <c r="J77" s="4">
        <v>75</v>
      </c>
      <c r="K77" s="5" t="s">
        <v>136</v>
      </c>
    </row>
    <row r="78" spans="10:11" x14ac:dyDescent="0.25">
      <c r="J78" s="4">
        <v>76</v>
      </c>
      <c r="K78" s="5" t="s">
        <v>137</v>
      </c>
    </row>
    <row r="79" spans="10:11" x14ac:dyDescent="0.25">
      <c r="J79" s="4">
        <v>77</v>
      </c>
      <c r="K79" s="5" t="s">
        <v>138</v>
      </c>
    </row>
    <row r="80" spans="10:11" x14ac:dyDescent="0.25">
      <c r="J80" s="4">
        <v>78</v>
      </c>
      <c r="K80" s="5" t="s">
        <v>139</v>
      </c>
    </row>
    <row r="81" spans="10:11" x14ac:dyDescent="0.25">
      <c r="J81" s="4">
        <v>79</v>
      </c>
      <c r="K81" s="5" t="s">
        <v>140</v>
      </c>
    </row>
    <row r="82" spans="10:11" x14ac:dyDescent="0.25">
      <c r="J82" s="4">
        <v>80</v>
      </c>
      <c r="K82" s="5" t="s">
        <v>141</v>
      </c>
    </row>
    <row r="83" spans="10:11" x14ac:dyDescent="0.25">
      <c r="J83" s="4">
        <v>81</v>
      </c>
      <c r="K83" s="5" t="s">
        <v>142</v>
      </c>
    </row>
    <row r="84" spans="10:11" x14ac:dyDescent="0.25">
      <c r="J84" s="4">
        <v>82</v>
      </c>
      <c r="K84" s="5" t="s">
        <v>143</v>
      </c>
    </row>
    <row r="85" spans="10:11" x14ac:dyDescent="0.25">
      <c r="J85" s="4">
        <v>83</v>
      </c>
      <c r="K85" s="5" t="s">
        <v>144</v>
      </c>
    </row>
    <row r="86" spans="10:11" x14ac:dyDescent="0.25">
      <c r="J86" s="4">
        <v>84</v>
      </c>
      <c r="K86" s="5" t="s">
        <v>145</v>
      </c>
    </row>
    <row r="87" spans="10:11" x14ac:dyDescent="0.25">
      <c r="J87" s="4">
        <v>85</v>
      </c>
      <c r="K87" s="5" t="s">
        <v>146</v>
      </c>
    </row>
    <row r="88" spans="10:11" x14ac:dyDescent="0.25">
      <c r="J88" s="4">
        <v>86</v>
      </c>
      <c r="K88" s="5" t="s">
        <v>147</v>
      </c>
    </row>
    <row r="89" spans="10:11" x14ac:dyDescent="0.25">
      <c r="J89" s="4">
        <v>87</v>
      </c>
      <c r="K89" s="5" t="s">
        <v>148</v>
      </c>
    </row>
    <row r="90" spans="10:11" x14ac:dyDescent="0.25">
      <c r="J90" s="4">
        <v>88</v>
      </c>
      <c r="K90" s="5" t="s">
        <v>149</v>
      </c>
    </row>
    <row r="91" spans="10:11" x14ac:dyDescent="0.25">
      <c r="J91" s="4">
        <v>89</v>
      </c>
      <c r="K91" s="5" t="s">
        <v>150</v>
      </c>
    </row>
    <row r="92" spans="10:11" x14ac:dyDescent="0.25">
      <c r="J92" s="4">
        <v>90</v>
      </c>
      <c r="K92" s="5" t="s">
        <v>151</v>
      </c>
    </row>
    <row r="93" spans="10:11" x14ac:dyDescent="0.25">
      <c r="J93" s="4">
        <v>91</v>
      </c>
      <c r="K93" s="5" t="s">
        <v>152</v>
      </c>
    </row>
    <row r="94" spans="10:11" x14ac:dyDescent="0.25">
      <c r="J94" s="4">
        <v>92</v>
      </c>
      <c r="K94" s="5" t="s">
        <v>153</v>
      </c>
    </row>
    <row r="95" spans="10:11" x14ac:dyDescent="0.25">
      <c r="J95" s="4">
        <v>93</v>
      </c>
      <c r="K95" s="5" t="s">
        <v>154</v>
      </c>
    </row>
    <row r="96" spans="10:11" x14ac:dyDescent="0.25">
      <c r="J96" s="4">
        <v>94</v>
      </c>
      <c r="K96" s="5" t="s">
        <v>155</v>
      </c>
    </row>
    <row r="97" spans="10:11" x14ac:dyDescent="0.25">
      <c r="J97" s="4">
        <v>95</v>
      </c>
      <c r="K97" s="5" t="s">
        <v>156</v>
      </c>
    </row>
    <row r="98" spans="10:11" x14ac:dyDescent="0.25">
      <c r="J98" s="4">
        <v>96</v>
      </c>
      <c r="K98" s="5" t="s">
        <v>157</v>
      </c>
    </row>
    <row r="99" spans="10:11" x14ac:dyDescent="0.25">
      <c r="J99" s="4">
        <v>97</v>
      </c>
      <c r="K99" s="5" t="s">
        <v>158</v>
      </c>
    </row>
    <row r="100" spans="10:11" x14ac:dyDescent="0.25">
      <c r="J100" s="4">
        <v>98</v>
      </c>
      <c r="K100" s="5" t="s">
        <v>159</v>
      </c>
    </row>
    <row r="101" spans="10:11" x14ac:dyDescent="0.25">
      <c r="J101" s="4">
        <v>99</v>
      </c>
      <c r="K101" s="5" t="s">
        <v>160</v>
      </c>
    </row>
    <row r="102" spans="10:11" x14ac:dyDescent="0.25">
      <c r="J102" s="4">
        <v>100</v>
      </c>
      <c r="K102" s="5" t="s">
        <v>161</v>
      </c>
    </row>
  </sheetData>
  <sheetProtection password="FBA8" sheet="1" objects="1" scenarios="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Rep 1</vt:lpstr>
      <vt:lpstr>Rep 2</vt:lpstr>
      <vt:lpstr>HRA</vt:lpstr>
      <vt:lpstr>F</vt:lpstr>
      <vt:lpstr>Rep 1!Print_Area</vt:lpstr>
    </vt:vector>
  </TitlesOfParts>
  <Company>Shivani Computers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Preksha</dc:creator>
  <cp:lastModifiedBy>raila</cp:lastModifiedBy>
  <cp:lastPrinted>2018-07-15T11:25:09Z</cp:lastPrinted>
  <dcterms:created xsi:type="dcterms:W3CDTF">2003-06-06T03:52:53Z</dcterms:created>
  <dcterms:modified xsi:type="dcterms:W3CDTF">2019-12-11T10:05:18Z</dcterms:modified>
</cp:coreProperties>
</file>